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10" yWindow="120" windowWidth="2600" windowHeight="5390" tabRatio="596" firstSheet="1" activeTab="1"/>
  </bookViews>
  <sheets>
    <sheet name="Introduction" sheetId="1" state="hidden" r:id="rId1"/>
    <sheet name="Instructions &amp; example" sheetId="2" r:id="rId2"/>
    <sheet name="Total Fund Deposit" sheetId="3" r:id="rId3"/>
    <sheet name="Credit pricing" sheetId="4" r:id="rId4"/>
    <sheet name="Example" sheetId="5" state="hidden" r:id="rId5"/>
    <sheet name="CP_EG" sheetId="6" state="hidden" r:id="rId6"/>
    <sheet name="TFD_EG" sheetId="7" state="hidden" r:id="rId7"/>
    <sheet name="Explanation of PV" sheetId="8" state="hidden" r:id="rId8"/>
  </sheets>
  <definedNames>
    <definedName name="_xlnm.Print_Area" localSheetId="4">'Example'!$A$1:$AF$148</definedName>
    <definedName name="_xlnm.Print_Area" localSheetId="6">'TFD_EG'!$B$2:$AC$57</definedName>
    <definedName name="_xlnm.Print_Area" localSheetId="2">'Total Fund Deposit'!$B$2:$AC$64</definedName>
    <definedName name="row1" localSheetId="6">'TFD_EG'!$G$97</definedName>
    <definedName name="row1">'Total Fund Deposit'!$G$104</definedName>
    <definedName name="row2" localSheetId="6">'TFD_EG'!$H$97</definedName>
    <definedName name="row2">'Total Fund Deposit'!$H$104</definedName>
    <definedName name="YesNo" localSheetId="6">'TFD_EG'!$F$101:$F$102</definedName>
    <definedName name="YesNo">'Total Fund Deposit'!$F$108:$F$109</definedName>
  </definedNames>
  <calcPr fullCalcOnLoad="1"/>
</workbook>
</file>

<file path=xl/comments2.xml><?xml version="1.0" encoding="utf-8"?>
<comments xmlns="http://schemas.openxmlformats.org/spreadsheetml/2006/main">
  <authors>
    <author>Joanna Pajkowska</author>
  </authors>
  <commentList>
    <comment ref="G52" authorId="0">
      <text>
        <r>
          <rPr>
            <b/>
            <sz val="8"/>
            <rFont val="Tahoma"/>
            <family val="0"/>
          </rPr>
          <t>Discount rates applied to the TFD calculations are determined by the Environment Agency Head or delegate.</t>
        </r>
      </text>
    </comment>
  </commentList>
</comments>
</file>

<file path=xl/comments3.xml><?xml version="1.0" encoding="utf-8"?>
<comments xmlns="http://schemas.openxmlformats.org/spreadsheetml/2006/main">
  <authors>
    <author>Joanna Pajkowska</author>
    <author>Ben_Qin</author>
  </authors>
  <commentList>
    <comment ref="G13" authorId="0">
      <text>
        <r>
          <rPr>
            <b/>
            <sz val="8"/>
            <rFont val="Tahoma"/>
            <family val="0"/>
          </rPr>
          <t>Discount rates applied to the TFD calculations are determined by the Environment Agency Head or delegate.</t>
        </r>
      </text>
    </comment>
    <comment ref="D18" authorId="1">
      <text>
        <r>
          <rPr>
            <sz val="12"/>
            <rFont val="Arial"/>
            <family val="2"/>
          </rPr>
          <t>Leave blank if ongoing for perpetuity</t>
        </r>
      </text>
    </comment>
  </commentList>
</comments>
</file>

<file path=xl/comments4.xml><?xml version="1.0" encoding="utf-8"?>
<comments xmlns="http://schemas.openxmlformats.org/spreadsheetml/2006/main">
  <authors>
    <author>Ben_Qin</author>
  </authors>
  <commentList>
    <comment ref="J27" authorId="0">
      <text>
        <r>
          <rPr>
            <sz val="10"/>
            <rFont val="Arial"/>
            <family val="2"/>
          </rPr>
          <t>This figure is the Total Fund Deposit that was worked out on the previous worksheet. Copy it into the Total Fund Deposit for each scenario.</t>
        </r>
      </text>
    </comment>
  </commentList>
</comments>
</file>

<file path=xl/comments5.xml><?xml version="1.0" encoding="utf-8"?>
<comments xmlns="http://schemas.openxmlformats.org/spreadsheetml/2006/main">
  <authors>
    <author>Joanna Pajkowska</author>
  </authors>
  <commentList>
    <comment ref="I72" authorId="0">
      <text>
        <r>
          <rPr>
            <b/>
            <sz val="8"/>
            <rFont val="Tahoma"/>
            <family val="0"/>
          </rPr>
          <t>Final Payment Schedule will be included in the biobanking agreement.</t>
        </r>
      </text>
    </comment>
    <comment ref="I74" authorId="0">
      <text>
        <r>
          <rPr>
            <b/>
            <sz val="8"/>
            <rFont val="Tahoma"/>
            <family val="0"/>
          </rPr>
          <t>Final Payment Schedule will be included in the biobanking agreement.</t>
        </r>
      </text>
    </comment>
    <comment ref="I75" authorId="0">
      <text>
        <r>
          <rPr>
            <b/>
            <sz val="8"/>
            <rFont val="Tahoma"/>
            <family val="0"/>
          </rPr>
          <t>Final Payment Schedule will be included in the biobanking agreement.</t>
        </r>
      </text>
    </comment>
    <comment ref="J36" authorId="0">
      <text>
        <r>
          <rPr>
            <b/>
            <sz val="8"/>
            <rFont val="Tahoma"/>
            <family val="0"/>
          </rPr>
          <t>Discount rates applied to the TFD calculations are determined by the Director-General by publshing an order in the Gazette.</t>
        </r>
      </text>
    </comment>
  </commentList>
</comments>
</file>

<file path=xl/comments6.xml><?xml version="1.0" encoding="utf-8"?>
<comments xmlns="http://schemas.openxmlformats.org/spreadsheetml/2006/main">
  <authors>
    <author>Ben_Qin</author>
  </authors>
  <commentList>
    <comment ref="J27" authorId="0">
      <text>
        <r>
          <rPr>
            <sz val="10"/>
            <rFont val="Arial"/>
            <family val="2"/>
          </rPr>
          <t>This figure is the Total Fund Deposit that was worked out on the previous worksheet. Copy it into the Total Fund Deposit for each scenario.</t>
        </r>
      </text>
    </comment>
  </commentList>
</comments>
</file>

<file path=xl/comments7.xml><?xml version="1.0" encoding="utf-8"?>
<comments xmlns="http://schemas.openxmlformats.org/spreadsheetml/2006/main">
  <authors>
    <author>Joanna Pajkowska</author>
    <author>Ben_Qin</author>
  </authors>
  <commentList>
    <comment ref="G13" authorId="0">
      <text>
        <r>
          <rPr>
            <b/>
            <sz val="8"/>
            <rFont val="Tahoma"/>
            <family val="0"/>
          </rPr>
          <t>Discount rates applied to the TFD calculations are determined by the Director-General by publshing an order in the Gazette.</t>
        </r>
      </text>
    </comment>
    <comment ref="D18" authorId="1">
      <text>
        <r>
          <rPr>
            <sz val="12"/>
            <rFont val="Arial"/>
            <family val="2"/>
          </rPr>
          <t>Leave blank if ongoing for perpetuity</t>
        </r>
      </text>
    </comment>
  </commentList>
</comments>
</file>

<file path=xl/sharedStrings.xml><?xml version="1.0" encoding="utf-8"?>
<sst xmlns="http://schemas.openxmlformats.org/spreadsheetml/2006/main" count="525" uniqueCount="272">
  <si>
    <t>In order to complete the calculation enter the required data in the yellow cells in the tables below. The formula works as follows: the average cost for each line where "high" and "low" cost levels are entered is calculated. Secondly, the formulae contained in the table distributes these costs between future years depending on the start and end date and specified frequency. Finally, gray cells sum up yearly cost, in today's value, for the first 20 years of the BioBank site operation. The yearly costs will vary depending on the payment frequency (input in the "Timing" section of the table) of each cost item included by the landowner. A summary of the total cost for each year is included in the gray "Cost in today's value" cells and a summary of what the landowner can expect to input into the Trust Fund Account to cover costs associated with the BioBank site is included in the blue "Trust Fund Deposit" cells.</t>
  </si>
  <si>
    <t>Once the landowner enters into a BioBanking agreement and sells their credits, the portion of the profit equal to the approved Total Fund Deposit is invested into their individual BioBank site account. The release of yearly management payments from that account to the landowner depends on a demonstration of compliance with the terms of the BioBanking agreement. This is done by annual reporting on performed management actions to DECC.</t>
  </si>
  <si>
    <t>The amount the BioBank site owner can expect to receive in a given year is based on the projected total site management cost for that year.  This is recorded in the schedule of future payments to the landholder annexure in the BioBanking agreement. Calculated in present dollar value at the time of entering into the agreement, it will be adjusted for inflation experienced during the years leading up to the payment. The payments from the Trust Fund will be made after the Total Fund Deposit amount is satisfied from the sale of credits and annual reports submitted to DECC demonstrate compliance with the BioBanking agreement. Release of the payment is also dependant on funds availability and can be suspended if the funds are low, or increased if there is a surplus in the account.</t>
  </si>
  <si>
    <t xml:space="preserve">Subtotals of the BioBank site management costs and other reoccurring costs are calculated automatically in the respective tables.  The "Total Trust Fund Deposit" is in purple and is displayed excluding and including the risk margin. The landowner's Trust Fund Deposit for this example, to be paid into the Trust Fund Account, as a result of proceeds from the first sale of credits is equal to $818,862 including a 10% risk margin. Once the full Trust Fund Deposit amount is satisfied, there should be sufficient funds for the BioBank site management into the future. This amount should be considered the lowest price (or "floor" price) for selling their credits on the market. </t>
  </si>
  <si>
    <t>BioBank Site Description</t>
  </si>
  <si>
    <t>Area of the proposed BioBank site (ha)</t>
  </si>
  <si>
    <t>In the above section, the landowner recorded the area of the proposed BioBank site at 200ha and expected the biodiversity credits to be issued after entering into the BioBanking Agreement (the number of biodiversity credits is obtained from the BioBanking Assessor in the Credit Calculator Report). This information will assist in the calculation of a credit price per ha or per credit basis.</t>
  </si>
  <si>
    <t>Part B Costs</t>
  </si>
  <si>
    <t xml:space="preserve">The landowner engaged an accredited BioBanking Assessor to perform site assessment and credit calculation of the site at an agreed price of $4,000. The landowner used expert advice in prepairing the Management Plan, where he did not have sufficient knowledge, with costs amounting to $1,500. Finally, the landowner included the application fee of $600 for the Credit Cost Calculation. </t>
  </si>
  <si>
    <t>If the landowner sought legal or financial advice related to entering into a BioBanking agreement, the cost of this advice would be included in this section. It is noted that for this example not all cost lines in the Part B table were applicable and were therefore not used.</t>
  </si>
  <si>
    <t>As the landowner used borrowed funds to pay for the costs associated with the preparation of the application for a BioBanking agreement the cost must also be included in this section. In this example the funds were borrowed at 10% interest rate.</t>
  </si>
  <si>
    <r>
      <t>NOTE:</t>
    </r>
    <r>
      <rPr>
        <sz val="12"/>
        <rFont val="Arial"/>
        <family val="2"/>
      </rPr>
      <t xml:space="preserve"> This table should be used as a checklist to guide the landholder’s credit price consideration and help inform their decision making when entering into a BioBanking Agreement. </t>
    </r>
  </si>
  <si>
    <r>
      <t xml:space="preserve">Opportunity Cost to Landholder </t>
    </r>
    <r>
      <rPr>
        <b/>
        <sz val="12"/>
        <rFont val="Arial"/>
        <family val="2"/>
      </rPr>
      <t xml:space="preserve">(optional)    </t>
    </r>
    <r>
      <rPr>
        <b/>
        <sz val="16"/>
        <rFont val="Arial"/>
        <family val="2"/>
      </rPr>
      <t xml:space="preserve">                                 </t>
    </r>
  </si>
  <si>
    <t>Costs of Enter into a BioBanking Agreement</t>
  </si>
  <si>
    <t>BioBanking Agreement application fee</t>
  </si>
  <si>
    <t>Total costs to enter into a BioBanking Agreement (excluding interest repayments)</t>
  </si>
  <si>
    <t>Total costs to enter into a BioBanking Agreement (including interest incurred)</t>
  </si>
  <si>
    <t>Total Fund Deposit for BioBank site management (mandatory)</t>
  </si>
  <si>
    <t>Total ongoing BioBank site management costs (including risk margin)</t>
  </si>
  <si>
    <t>BioBank site management cost in today's value</t>
  </si>
  <si>
    <t>Description to Estimate Timing &amp; Costs</t>
  </si>
  <si>
    <t xml:space="preserve">Based on research of the potential market demand and preliminary advice obtained from the local environmental consultancy, the landowner has determined that the vegetation type present on the site is under a lot of development pressure and in limited supply. The biodiversity credits that can therefore be generated on the property are expected to be in high demand and attract a good price on the market. After considering the implications of establishing a BioBank site (obligations and some potential risks are listed in the Guide to establishing a BioBank site) and discussing this opportunity with people involved or affected by his decision, the landowner hired a BioBanking Assessor to perform a site assessment. The results were used by the assessor to calculate the number and type of biodiversity credits and produce a credit report that the landowner will submit with his application for a BioBanking agreement. </t>
  </si>
  <si>
    <t xml:space="preserve">One particular management action required for this landowners BioBank site is the erection and maintenance of fences. It is expected to cost the landowner $40,000 after deduction for the neighbour's obligation to pay half. Fence maintenance costs are included in the budget for fence replacement which can be done in phases. The landowner has also insured the fence in case of fire or other unexpected damage and the insurance premium payments are recorded as "Other Reoccurring Costs". </t>
  </si>
  <si>
    <t>The landowner understands that if threatened species which qualify for 'species credits' are found on his BioBank site during the survey then additional management may be required. At the time of the site assessment there were no such species found, however some threatened species are present in the neighbouring area and the landowner hopes that with the proposed protection and management of his BioBank site some of these species may find a suitable habitat on his property. The detection of threatened species at a later date will make the landowner eligible to apply for the credits at that later date. The landowner is only required to implement management procedures specific to the biodiversity of his site and as such other BioBank sites may required different management actions.</t>
  </si>
  <si>
    <t>The landowner can include a risk margin on top of the outlined management costs, in this case 10%, to ensure that any unexpected or increases in costs can still be paid for by the Trust Fund Account. This will however increase Total Fund Deposit amount and therefore the credit price.</t>
  </si>
  <si>
    <t>Total Fund Deposit amount is incorporated into the BioBanking agreement. BioBanking agreement also includes a Schedule of Payments which is based on the estimated annual total site management costs as displayed in gray line labeled "Total annual site management cost in today's value" (in Trust Fund Deposit calculation tables).</t>
  </si>
  <si>
    <t>A 200ha area of land with native vegetation is considered for establishing a BioBank site. The landowner is committed to permanent protection and management of the site for conservation but is also keen to derive economic benefit and obtain financial resources to pay for site management that would improve the condition of vegetation and habitat of species present on their site.</t>
  </si>
  <si>
    <t>Before the completed application could be sent to DECC, the landowner had to develop a draft Management Plan for the BioBank site. The landowner sought expert advice for some management actions that required specific knowledge and experience the landowner did not have. The landowner then used the Biodiversity Pricing Spreadsheet to determine the minimum amount, in perpetuity, that would cover the costs of managing the BioBank site. The Biodiversity Pricing Spreadsheet therefore allowed the landowner to determine the asking price for the biodiversity credits generated by his BioBank land.</t>
  </si>
  <si>
    <t>Mandatory BioBank Site Management Costs</t>
  </si>
  <si>
    <t xml:space="preserve">About the Site </t>
  </si>
  <si>
    <t>In the "Timing" column, the landowner records the year of implementation for each management action. Important points to indicate here include if any action is expected to stop after a certain time (e.g. intensive weed control and intensive vertebrate pest control will stop in year 5); if costs are periodic (e.g. Fence maintenance will take place every 20 years) or continue on an annual basis (e.g. reporting fees).</t>
  </si>
  <si>
    <t>Another management action required for this BioBank site is pest control. The landowner will undertake intensive vertebrate pest control between years 1 and 5. The estimated annual cost of the intensive pest management is $10,000. It will be followed by ongoing vertebrate pest control starting in year 6. The annual cost of the ongoing pest management is estimated by the landowner to be $5,000.</t>
  </si>
  <si>
    <t>Part A costs</t>
  </si>
  <si>
    <t>Total Credit Price (Part A + Part B)</t>
  </si>
  <si>
    <t xml:space="preserve">This section is populated automatically using outcomes of the calculations of the Total Fund Deposit in the above tables. Therefore, the cost of the ongoing biobank site management is included in the credit price calculation. </t>
  </si>
  <si>
    <t>Market Value of land ($ per ha)</t>
  </si>
  <si>
    <r>
      <t>Stamp Duty (Not applicable if property already owned)</t>
    </r>
  </si>
  <si>
    <t>Scenario 2</t>
  </si>
  <si>
    <t>Scenario 3</t>
  </si>
  <si>
    <t>Scenario 4</t>
  </si>
  <si>
    <t>Scenario 5</t>
  </si>
  <si>
    <t>Legal Fees</t>
  </si>
  <si>
    <t>Real discount rate</t>
  </si>
  <si>
    <t>Timing</t>
  </si>
  <si>
    <t>Begin</t>
  </si>
  <si>
    <t>Low</t>
  </si>
  <si>
    <t>High</t>
  </si>
  <si>
    <t>Average</t>
  </si>
  <si>
    <t>Ecological fire management</t>
  </si>
  <si>
    <t>Ongoing frequency      (if not annual)</t>
  </si>
  <si>
    <t>End (&lt;=20yrs)</t>
  </si>
  <si>
    <t>Intensive weed control</t>
  </si>
  <si>
    <t>Ongoing weed control</t>
  </si>
  <si>
    <t>Intensive vertebrate pest control</t>
  </si>
  <si>
    <t>Ongoing vertebrate pest control</t>
  </si>
  <si>
    <t>Firebreak / track maintenance</t>
  </si>
  <si>
    <t>Rates (e.g. Council)</t>
  </si>
  <si>
    <t>Year</t>
  </si>
  <si>
    <t>Potential credit price</t>
  </si>
  <si>
    <t>Total market value of land ($ per ha x area)</t>
  </si>
  <si>
    <t>Example</t>
  </si>
  <si>
    <t>Expected to occur over the first 5 years</t>
  </si>
  <si>
    <t>Estimated annual figure to control weeds from year 6 onwards</t>
  </si>
  <si>
    <t>Estimated annual figure to control pests from year 6 onwards</t>
  </si>
  <si>
    <t>Expected to occur every 10 years, starting at year 10</t>
  </si>
  <si>
    <t>Expected to occur every 4 years, starting at year 4</t>
  </si>
  <si>
    <t xml:space="preserve">Annual amount </t>
  </si>
  <si>
    <t>Annual expected landowner time to complete annual reporting requirements</t>
  </si>
  <si>
    <t>Estimated business management costs associated with biobank site</t>
  </si>
  <si>
    <t>PART A</t>
  </si>
  <si>
    <t>PART B</t>
  </si>
  <si>
    <t>Total opportunity cost to landowner</t>
  </si>
  <si>
    <t>Total cost to enter into a biobanking agreement</t>
  </si>
  <si>
    <t>No. of biodiversity credits issued</t>
  </si>
  <si>
    <t xml:space="preserve">Trust Fund Deposit amount per credit </t>
  </si>
  <si>
    <t>Cost (per year)</t>
  </si>
  <si>
    <t>Insurance (e.g. fences, public liability)</t>
  </si>
  <si>
    <t>CREDIT PRICE</t>
  </si>
  <si>
    <t>TOTAL</t>
  </si>
  <si>
    <t>Preparation of a Management Plan</t>
  </si>
  <si>
    <t>Site assessment (incl. vegetation mapping, flora &amp; fauna surveys)</t>
  </si>
  <si>
    <t>Other (eg annual Council/RLPB/Dept. Lands Rates for year(s) prior to expected first sale of credits)</t>
  </si>
  <si>
    <t>Interest repayments (if funds borrowed as an investment)</t>
  </si>
  <si>
    <t>Proportion of biodiversity credits likely to be sold (enter %)</t>
  </si>
  <si>
    <t>Scenario 1</t>
  </si>
  <si>
    <t>Market value of land ($ per ha)</t>
  </si>
  <si>
    <t>Part B - Calculating Biodiversity Credits Price</t>
  </si>
  <si>
    <t>Business management/ Administration costs</t>
  </si>
  <si>
    <t>Annual monitoring &amp; reporting requirements per biobanking agreement</t>
  </si>
  <si>
    <t>Interest repayments (enter %) per annum</t>
  </si>
  <si>
    <t xml:space="preserve">Interest repayments (if funds borrowed as an investment) at 10% </t>
  </si>
  <si>
    <t>Payments from the BioBanking Trust Fund account</t>
  </si>
  <si>
    <t>Example - estimating Trust Fund Deposit and calculating credit price</t>
  </si>
  <si>
    <t>Fence erection and maintenance</t>
  </si>
  <si>
    <t>Fence erection in year 1 and replacement every 20 years, starting at year 20</t>
  </si>
  <si>
    <t>What is the Credit pricing spreadsheet for?</t>
  </si>
  <si>
    <t xml:space="preserve">How the TFD calculation works? </t>
  </si>
  <si>
    <t>Why 20 year period has been adopted?</t>
  </si>
  <si>
    <t xml:space="preserve">Calculation of the PV of the management costs using Gazzetted discount rates </t>
  </si>
  <si>
    <t>What types of costs can be included (see Reg) / reference to the mgt actions</t>
  </si>
  <si>
    <t>Reference to the adopted discount rates and the lengths of the investment periods.</t>
  </si>
  <si>
    <t>(Note: There is an implicid risk marigin incorporated in the TFD calcautions derived from assuming a real discount rate that is less than the expected real investment rate.)</t>
  </si>
  <si>
    <t>(Note: PV calculaitn is based on the payments made from the TF to the landowenrat the beginning of the period)</t>
  </si>
  <si>
    <t>Present Value (PV) of the biobank site management cost</t>
  </si>
  <si>
    <t>Yes</t>
  </si>
  <si>
    <t>Annual management report compliance fee</t>
  </si>
  <si>
    <t>Grand Total</t>
  </si>
  <si>
    <t>Are you registered for GST/do you have an ABN?</t>
  </si>
  <si>
    <t>BioBank Site Location:</t>
  </si>
  <si>
    <t>BioBank Site Owner:</t>
  </si>
  <si>
    <t>(OFFICE USE ONLY: BIMS REFERENCE NUMBER):</t>
  </si>
  <si>
    <t>ABN:</t>
  </si>
  <si>
    <t>(OFFICE USE ONLY: SAP BTF WBS):</t>
  </si>
  <si>
    <t>Annual fee on submission of the report. Payment made directly from the BioBanking Trust Fund to DECC.</t>
  </si>
  <si>
    <t>Other Annual Costs to be Considered</t>
  </si>
  <si>
    <t xml:space="preserve">In the first table of the Total Fund Amount calculation (or Part A Mandatory Costs), the landowner lists all management actions he commits to undertake on the site as proposed in the Management Plan. Each "Item" in the table should correspond to a different management action. Details of how the management action will be implemented on the BioBank site are recorded in the "Description" column of the table. Where there is a need to separate tasks associated with one management action, for example where the frequency varied or several tasks were required to implement a specific management action, it should be recorded as different tasks in separate lines of the table. </t>
  </si>
  <si>
    <t xml:space="preserve">The landowner has only included long-term viability cost categories in this table conscious that additional non-essential costs would increase price of their credits. </t>
  </si>
  <si>
    <t xml:space="preserve">Calculation of the Total Annual Site Management Cost and Total Fund Deposit </t>
  </si>
  <si>
    <t>The landowner has included all remaining costs related to the ongoing management of the BioBank site under the "Other Reoccurring Costs" heading in the second table entitled 'Recommended'. These costs include: rates of $3,000 annually; insurance premiums of $5,000 annually; BioBank site administration costs. The landowner is planning to prepare annual reports himself, but in order to ensure that the Trust Account is calculated conservatively the cost of preparing reports is included in the Total Fund Deposit calculation. A conservative calculation ensures that the Trust Account will have sufficient funds to complete all management if the landowner is no longer able to complete the tasks they previously intended to.</t>
  </si>
  <si>
    <t>The landowner enters costs of all mandatory site management actions, based on a conservative estimation of materials and labor, into the table. The costs should be calculated in today's dollar value as the table will determine any future increase in costs and provide a discounted current value. In order to provide a conservative estimate the cost of hiring labour should be included even if the landowner is planning to complete any tasks themselves in case the landowner is not able to perform the task in the future. A conservative estimate ensures that the Trust Fund Account will have sufficient money to comply with the agreement regardless of the circumstances but will also increase the price of credits and make the site more attractive to prospective future buyers.</t>
  </si>
  <si>
    <t>The landowner may account for one-time costs associated with entering into a BioBanking agreement as well as opportunity costs. Including opportunity costs in the credit price is optional and may decrease the competitiveness of the price on the open market however, it allows the landowner to recover land value and/or potential decrease in the future release land (estimated to be $10,000 per ha or $2M for entire BioBank site area of 200ha) and to include a desired profit margin of 20%.</t>
  </si>
  <si>
    <t xml:space="preserve">The total credit price reflects all the costs and returns the landowner included in their calculations. It helps to determine what is a desired minimum asking price for the biodiversity credits established by a proposed BioBank site on their property and managing it into the future. The total amount required for this site is $3,201,246 (including risk margin).  When this amount is divided by the number of hectares, the landowner can estimate total cost of establishing a BioBank site on a per hectare basis. </t>
  </si>
  <si>
    <t xml:space="preserve">This table allows the landowner to see what his minimum asking price per credit should be, in this example the individual credit price is $7,114 (including risk margin). Another useful function is estimating what percentage of the credits they are likely to sell on the market and therefore adjusting the per credit price to recover the full cost of establishing a BioBank site. For example the landowner can see how much they would need to charge per credit if they were only able to sell 75% of the total credits held. The asking price in this situation should be at least $9,485 per credit (including risk margin). And finally, the landowner can determine the amount of return, which is $5,348 per credit (including risk margin). </t>
  </si>
  <si>
    <t>Mand</t>
  </si>
  <si>
    <t>row num</t>
  </si>
  <si>
    <t>mand count</t>
  </si>
  <si>
    <t>Rec</t>
  </si>
  <si>
    <t>Discount Factors</t>
  </si>
  <si>
    <t>Other Recurring BioBank Site Management Cost Items</t>
  </si>
  <si>
    <t>Present value of all payments</t>
  </si>
  <si>
    <t>Present value of  payments after 20 yrs</t>
  </si>
  <si>
    <t>Present value of payments during first 20 yrs</t>
  </si>
  <si>
    <t>Annual BioBank site management costs in today's values</t>
  </si>
  <si>
    <t>Total costs</t>
  </si>
  <si>
    <t>Proposed Payment Schedule from BTF to Site Landowner for management action costs</t>
  </si>
  <si>
    <t>Comprising:</t>
  </si>
  <si>
    <t>GST (to be remitted to the ATO by Site Landowner)</t>
  </si>
  <si>
    <t>GST (Input tax credit to be claimed from the ATO by BTF)</t>
  </si>
  <si>
    <t>Gross Proposed Annual Payment Schedule from BioBank Trust Fund (including GST if applicable)</t>
  </si>
  <si>
    <t>Proposed Payment Schedule from BTF to DECC for annual compliance</t>
  </si>
  <si>
    <t>Cost to enter into a biokanking agreement per credit</t>
  </si>
  <si>
    <t>Management Actions Cost Items (mandatory)</t>
  </si>
  <si>
    <t>Profit margin (enter %)</t>
  </si>
  <si>
    <t>Total cost</t>
  </si>
  <si>
    <t>Profit margin per credit</t>
  </si>
  <si>
    <t>Individual credit price   (total price / number of credits)</t>
  </si>
  <si>
    <t xml:space="preserve">Total amount based on the % of credits estimated to be sold </t>
  </si>
  <si>
    <t xml:space="preserve">Total opportunity cost to landowner </t>
  </si>
  <si>
    <t>Individual credit price   (Price of credit calculated on the total amount of deposit required and the % of credits estimated to be sold i.e. Where it is assumed that less than 100% of credits will be sold, the individual credit price will need to be higher in order to recoup costs)</t>
  </si>
  <si>
    <t xml:space="preserve">Total Fund Deposit </t>
  </si>
  <si>
    <t>Total Costs</t>
  </si>
  <si>
    <t xml:space="preserve">Trust Fund Deposit </t>
  </si>
  <si>
    <t>Total cost to enter into a biobanking Agreement</t>
  </si>
  <si>
    <t xml:space="preserve">Total cost </t>
  </si>
  <si>
    <t xml:space="preserve">Profit margin (enter %) </t>
  </si>
  <si>
    <t xml:space="preserve">Profit margin ($) </t>
  </si>
  <si>
    <t xml:space="preserve"> PART A</t>
  </si>
  <si>
    <t xml:space="preserve"> TOTAL COSTS</t>
  </si>
  <si>
    <t>Total price of credits (profit margin included)</t>
  </si>
  <si>
    <r>
      <t xml:space="preserve">
 Trust Fund Deposit </t>
    </r>
    <r>
      <rPr>
        <sz val="12"/>
        <rFont val="Arial"/>
        <family val="2"/>
      </rPr>
      <t>(from the Total Fund Deposit worksheet)</t>
    </r>
  </si>
  <si>
    <t xml:space="preserve">Potential credit price </t>
  </si>
  <si>
    <t>(%)</t>
  </si>
  <si>
    <t>The "Total Fund Deposit" is the total amount that needs to be paid into the Trust Fund Account at the time of establishment of a BioBank site (after the sale of first credit/s) to cover site management costs in the future. It is calculated by translating yearly costs expressed in today's value (in gray) to their present value equivalent (in blue). The translation of future costs to their present value is calculated by financial discunting using the real interest rate. A discount rate of 3.5% throughout is applied to the "costs in today's value" amounts. The consumer Price Index (CPI) rate is included in this calculation to account for inflation.</t>
  </si>
  <si>
    <t>cell</t>
  </si>
  <si>
    <t>Start year</t>
  </si>
  <si>
    <t>End year</t>
  </si>
  <si>
    <t>No</t>
  </si>
  <si>
    <t>Proposed  payment schedule for annual compliance</t>
  </si>
  <si>
    <t>Data for spreadsheet function use only</t>
  </si>
  <si>
    <t>Total Trust Fund Deposit</t>
  </si>
  <si>
    <t>SITE</t>
  </si>
  <si>
    <t>Estimated annual cost   ($)</t>
  </si>
  <si>
    <t xml:space="preserve">This template should be used for estimating the Total Fund Deposit and preparation of the Payment Schedule </t>
  </si>
  <si>
    <t>Biobank site location</t>
  </si>
  <si>
    <t>Biobank site owner</t>
  </si>
  <si>
    <t>ABN</t>
  </si>
  <si>
    <t>Management action costs</t>
  </si>
  <si>
    <t>Other recurring costs</t>
  </si>
  <si>
    <t>Discount factors</t>
  </si>
  <si>
    <t>Annual biobank site management costs in today's values</t>
  </si>
  <si>
    <t>Present value of payments for first 20 yrs</t>
  </si>
  <si>
    <t>Biobank site description</t>
  </si>
  <si>
    <t>Area of the proposed biobank site (ha)</t>
  </si>
  <si>
    <t>Costs to enter into a biobanking agreement</t>
  </si>
  <si>
    <t>Biobank site management cost in today's value</t>
  </si>
  <si>
    <t>Credit Pricing worksheet</t>
  </si>
  <si>
    <t>Legal fees</t>
  </si>
  <si>
    <t>Preparation of management actions</t>
  </si>
  <si>
    <t xml:space="preserve">Site assessment and Biobanking Agreement Credit Report preparation </t>
  </si>
  <si>
    <t>Biobanking agreement application fee</t>
  </si>
  <si>
    <t xml:space="preserve">Other </t>
  </si>
  <si>
    <r>
      <t xml:space="preserve">Opportunity cost to landowner </t>
    </r>
    <r>
      <rPr>
        <b/>
        <sz val="12"/>
        <rFont val="Arial"/>
        <family val="2"/>
      </rPr>
      <t xml:space="preserve">(optional)    </t>
    </r>
    <r>
      <rPr>
        <b/>
        <sz val="16"/>
        <rFont val="Arial"/>
        <family val="2"/>
      </rPr>
      <t xml:space="preserve">                                 </t>
    </r>
  </si>
  <si>
    <t>Total Fund Deposit</t>
  </si>
  <si>
    <t>From previous worksheet</t>
  </si>
  <si>
    <t>Total cost to enter into a biobanking agreement (including interest incurred)</t>
  </si>
  <si>
    <r>
      <t>Stamp duty (not applicable if property already owned)</t>
    </r>
  </si>
  <si>
    <t>Total cost to enter into a biobanking agreement (excluding interest)</t>
  </si>
  <si>
    <t xml:space="preserve">Opportunity cost to landholder per credit </t>
  </si>
  <si>
    <t>Individual credit price (total price / number of credits)</t>
  </si>
  <si>
    <t>Profit or risk margin ($)</t>
  </si>
  <si>
    <t>Desired total price of credits (including profit or risk margin)</t>
  </si>
  <si>
    <t xml:space="preserve">Individual credit price to acheive the desired total price of credits given the % likely to be sold   </t>
  </si>
  <si>
    <t xml:space="preserve">Total amount to be received given the % of credits likely to be sold </t>
  </si>
  <si>
    <t>Individual credit price to achieve 80% of the Total Fund Deposit given the % likely to be sold</t>
  </si>
  <si>
    <t>Total Fund Deposit worksheet (Part A costs)</t>
  </si>
  <si>
    <t xml:space="preserve">Frequency </t>
  </si>
  <si>
    <t>Intensive weed control - Expected to occur over the first 5 years</t>
  </si>
  <si>
    <t>Ongoing weed control - Estimated annual figure to control weeds from year 6 onwards</t>
  </si>
  <si>
    <t>Intensive vertebrate pest control - Expected to occur over the first 5 years</t>
  </si>
  <si>
    <t>Ongoing vertebrate pest control - Estimated annual figure to control pests from year 6 onwards</t>
  </si>
  <si>
    <t>Ecological fire management - Expected to occur every 10 years, starting at year 10</t>
  </si>
  <si>
    <t>Firebreak / track maintenance - Expected to occur every 4 years, starting at year 4</t>
  </si>
  <si>
    <t>Fence erection and maintenance - Fence erection in year 1 and replacement every 20 years, starting at year 20</t>
  </si>
  <si>
    <t xml:space="preserve">Rates (e.g. Council) - Annual amount </t>
  </si>
  <si>
    <t xml:space="preserve">Insurance (e.g. fences, public liability) - Annual amount </t>
  </si>
  <si>
    <t>Business management/ Administration costs - Estimated business management costs associated with biobank site</t>
  </si>
  <si>
    <t>Annual monitoring &amp; reporting requirements per biobanking agreement - Annual expected landowner time to complete annual reporting requirements</t>
  </si>
  <si>
    <t>Example scenario 1</t>
  </si>
  <si>
    <t>Example scenario 2</t>
  </si>
  <si>
    <t>Example scenario 3</t>
  </si>
  <si>
    <t>Example scenario 4</t>
  </si>
  <si>
    <t>Step 1: Total Fund Deposit worksheet</t>
  </si>
  <si>
    <t>Step 2: Credit Pricing worksheet</t>
  </si>
  <si>
    <t>Profit or risk margin (enter %)</t>
  </si>
  <si>
    <t>Example site</t>
  </si>
  <si>
    <t>123 456 789</t>
  </si>
  <si>
    <t xml:space="preserve">Ecological fire management </t>
  </si>
  <si>
    <t xml:space="preserve">Firebreak / track maintenance </t>
  </si>
  <si>
    <t xml:space="preserve">Fence erection </t>
  </si>
  <si>
    <t xml:space="preserve">Fence maintenance </t>
  </si>
  <si>
    <t>Rates (e.g. council)</t>
  </si>
  <si>
    <t xml:space="preserve">Insurance (e.g. fences, public liability) </t>
  </si>
  <si>
    <t>Business management and administration costs</t>
  </si>
  <si>
    <t xml:space="preserve">Monitoring &amp; reporting requirements </t>
  </si>
  <si>
    <r>
      <t xml:space="preserve">Individual credit price to achieve </t>
    </r>
    <r>
      <rPr>
        <b/>
        <sz val="12"/>
        <rFont val="Arial"/>
        <family val="2"/>
      </rPr>
      <t>80% of the Total Fund Deposit</t>
    </r>
    <r>
      <rPr>
        <sz val="12"/>
        <rFont val="Arial"/>
        <family val="2"/>
      </rPr>
      <t xml:space="preserve"> given the % likely to be sold</t>
    </r>
  </si>
  <si>
    <r>
      <t xml:space="preserve">Individual credit price to achieve </t>
    </r>
    <r>
      <rPr>
        <b/>
        <sz val="12"/>
        <rFont val="Arial"/>
        <family val="2"/>
      </rPr>
      <t>100% of the Total Fund Deposit</t>
    </r>
    <r>
      <rPr>
        <sz val="12"/>
        <rFont val="Arial"/>
        <family val="2"/>
      </rPr>
      <t xml:space="preserve"> given the % likely to be sold</t>
    </r>
  </si>
  <si>
    <r>
      <t xml:space="preserve">Individual credit price to achieve </t>
    </r>
    <r>
      <rPr>
        <b/>
        <sz val="12"/>
        <rFont val="Arial"/>
        <family val="2"/>
      </rPr>
      <t>100% of the Total Fund Deposit</t>
    </r>
    <r>
      <rPr>
        <sz val="12"/>
        <rFont val="Arial"/>
        <family val="2"/>
      </rPr>
      <t xml:space="preserve"> 
given the % likely to be sold</t>
    </r>
  </si>
  <si>
    <r>
      <t xml:space="preserve">Individual credit price to achieve </t>
    </r>
    <r>
      <rPr>
        <b/>
        <sz val="12"/>
        <rFont val="Arial"/>
        <family val="2"/>
      </rPr>
      <t>80% of the Total Fund Deposit</t>
    </r>
    <r>
      <rPr>
        <sz val="12"/>
        <rFont val="Arial"/>
        <family val="2"/>
      </rPr>
      <t xml:space="preserve"> 
given the % likely to be sold</t>
    </r>
  </si>
  <si>
    <r>
      <t xml:space="preserve">Individual credit price to achieve </t>
    </r>
    <r>
      <rPr>
        <b/>
        <sz val="12"/>
        <rFont val="Arial"/>
        <family val="2"/>
      </rPr>
      <t>the desired total price of credits</t>
    </r>
    <r>
      <rPr>
        <sz val="12"/>
        <rFont val="Arial"/>
        <family val="2"/>
      </rPr>
      <t xml:space="preserve"> 
given the % likely to be sold  </t>
    </r>
    <r>
      <rPr>
        <b/>
        <sz val="12"/>
        <rFont val="Arial"/>
        <family val="2"/>
      </rPr>
      <t xml:space="preserve"> </t>
    </r>
  </si>
  <si>
    <r>
      <t xml:space="preserve">Individual credit price to acheive </t>
    </r>
    <r>
      <rPr>
        <b/>
        <sz val="12"/>
        <rFont val="Arial"/>
        <family val="2"/>
      </rPr>
      <t>the desired total price of credits</t>
    </r>
    <r>
      <rPr>
        <sz val="12"/>
        <rFont val="Arial"/>
        <family val="2"/>
      </rPr>
      <t xml:space="preserve"> given the % likely to be sold   </t>
    </r>
  </si>
  <si>
    <t xml:space="preserve">Annual reporting fee  </t>
  </si>
  <si>
    <t>Annual reporting fee</t>
  </si>
  <si>
    <t>Interest rate (enter %) per annum</t>
  </si>
  <si>
    <t>Interest  (if funds borrowed as an investment)</t>
  </si>
  <si>
    <t>Weed control – intensive</t>
  </si>
  <si>
    <t>Weed control – ongoing</t>
  </si>
  <si>
    <t>Vertebrate pest control – intensive</t>
  </si>
  <si>
    <t>Vertebrate pest control  –  ongoing</t>
  </si>
  <si>
    <t>Example scenario 5</t>
  </si>
  <si>
    <t xml:space="preserve">This template should be used for estimating the Total Fund Deposit and preparation of the payment schedule </t>
  </si>
  <si>
    <t>Credit pricing worksheet</t>
  </si>
  <si>
    <t>Mr &amp; Ms Smith</t>
  </si>
  <si>
    <t>Site location</t>
  </si>
  <si>
    <t>Site owner</t>
  </si>
  <si>
    <t>(OFFICE USE ONLY: REFERENCE NUMBER):</t>
  </si>
  <si>
    <t>(OFFICE USE ONLY: SAP WBS):</t>
  </si>
  <si>
    <t>Site management cost in today's value</t>
  </si>
  <si>
    <t>Present Value (PV) of the site management cost</t>
  </si>
  <si>
    <t>Annual site management costs in today's values</t>
  </si>
  <si>
    <t>Site description</t>
  </si>
  <si>
    <t>Area of the proposed site (ha)</t>
  </si>
  <si>
    <t xml:space="preserve">Costs of establishing a site </t>
  </si>
  <si>
    <t xml:space="preserve">Site assessment and Agreement Credit Report preparation </t>
  </si>
  <si>
    <t>Agreement application fee</t>
  </si>
  <si>
    <t>Total cost to enter into an agreement (excluding interest)</t>
  </si>
  <si>
    <t>Total cost to enter into an agreement (including interest incurred)</t>
  </si>
  <si>
    <t>Total cost to enter into an agreement</t>
  </si>
  <si>
    <t>Costs to enter into an agreement</t>
  </si>
  <si>
    <t>Cost to enter into an agreement per credit</t>
  </si>
  <si>
    <t xml:space="preserve">Biodiversity Credits Pricing Spreadsheet </t>
  </si>
  <si>
    <t>2022-23</t>
  </si>
  <si>
    <t>Environment and Heritage Group, Department of Planning and Environment, Locked Bag 5022, Parramatta NSW 2124. Phone: 1300 361 967 (environment and national parks enquiries); email: info@environment.nsw.gov.au; website: www.environment.nsw.gov.au</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</si>
</sst>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quot;$&quot;#,##0"/>
    <numFmt numFmtId="178" formatCode="&quot;$&quot;#,##0.0"/>
    <numFmt numFmtId="179" formatCode="[$-C09]dddd\,\ d\ mmmm\ yyyy"/>
    <numFmt numFmtId="180" formatCode="[$-C09]dd\-mmm\-yy;@"/>
    <numFmt numFmtId="181" formatCode="&quot;$&quot;#,##0.000"/>
    <numFmt numFmtId="182" formatCode="&quot;$&quot;#,##0.000;[Red]\-&quot;$&quot;#,##0.000"/>
    <numFmt numFmtId="183" formatCode="0.00_ ;[Red]\-0.00\ "/>
    <numFmt numFmtId="184" formatCode="&quot;$&quot;#,##0.0;[Red]\-&quot;$&quot;#,##0.0"/>
    <numFmt numFmtId="185" formatCode="0.0"/>
    <numFmt numFmtId="186" formatCode="_-&quot;$&quot;* #,##0.0_-;\-&quot;$&quot;* #,##0.0_-;_-&quot;$&quot;* &quot;-&quot;??_-;_-@_-"/>
    <numFmt numFmtId="187" formatCode="_-&quot;$&quot;* #,##0_-;\-&quot;$&quot;* #,##0_-;_-&quot;$&quot;* &quot;-&quot;??_-;_-@_-"/>
    <numFmt numFmtId="188" formatCode="[$$-C09]#,##0"/>
    <numFmt numFmtId="189" formatCode="[$$-C09]#,##0.0"/>
    <numFmt numFmtId="190" formatCode="[$$-C09]#,##0.00"/>
    <numFmt numFmtId="191" formatCode="[$$-C09]#,##0.000"/>
  </numFmts>
  <fonts count="77">
    <font>
      <sz val="10"/>
      <name val="Arial"/>
      <family val="0"/>
    </font>
    <font>
      <sz val="8"/>
      <name val="Arial"/>
      <family val="0"/>
    </font>
    <font>
      <b/>
      <sz val="10"/>
      <name val="Arial"/>
      <family val="2"/>
    </font>
    <font>
      <b/>
      <sz val="10"/>
      <color indexed="10"/>
      <name val="Arial"/>
      <family val="2"/>
    </font>
    <font>
      <sz val="10"/>
      <color indexed="10"/>
      <name val="Arial"/>
      <family val="2"/>
    </font>
    <font>
      <sz val="10"/>
      <color indexed="40"/>
      <name val="Arial"/>
      <family val="2"/>
    </font>
    <font>
      <u val="single"/>
      <sz val="10"/>
      <color indexed="12"/>
      <name val="Arial"/>
      <family val="0"/>
    </font>
    <font>
      <u val="single"/>
      <sz val="10"/>
      <color indexed="36"/>
      <name val="Arial"/>
      <family val="0"/>
    </font>
    <font>
      <b/>
      <sz val="16"/>
      <name val="Arial"/>
      <family val="2"/>
    </font>
    <font>
      <b/>
      <sz val="14"/>
      <name val="Arial"/>
      <family val="2"/>
    </font>
    <font>
      <b/>
      <sz val="12"/>
      <name val="Arial"/>
      <family val="2"/>
    </font>
    <font>
      <sz val="12"/>
      <name val="Arial"/>
      <family val="2"/>
    </font>
    <font>
      <b/>
      <u val="single"/>
      <sz val="10"/>
      <name val="Arial"/>
      <family val="2"/>
    </font>
    <font>
      <sz val="10"/>
      <color indexed="9"/>
      <name val="Arial"/>
      <family val="2"/>
    </font>
    <font>
      <b/>
      <sz val="18"/>
      <name val="Arial"/>
      <family val="2"/>
    </font>
    <font>
      <sz val="14"/>
      <name val="Arial"/>
      <family val="0"/>
    </font>
    <font>
      <sz val="12"/>
      <color indexed="12"/>
      <name val="Arial"/>
      <family val="2"/>
    </font>
    <font>
      <sz val="22"/>
      <name val="Arial"/>
      <family val="0"/>
    </font>
    <font>
      <b/>
      <i/>
      <sz val="12"/>
      <name val="Arial"/>
      <family val="2"/>
    </font>
    <font>
      <b/>
      <i/>
      <sz val="10"/>
      <name val="Arial"/>
      <family val="2"/>
    </font>
    <font>
      <sz val="10"/>
      <color indexed="12"/>
      <name val="Arial"/>
      <family val="0"/>
    </font>
    <font>
      <b/>
      <u val="single"/>
      <sz val="11"/>
      <name val="Arial"/>
      <family val="2"/>
    </font>
    <font>
      <sz val="11"/>
      <name val="Arial"/>
      <family val="2"/>
    </font>
    <font>
      <b/>
      <sz val="8"/>
      <name val="Tahoma"/>
      <family val="0"/>
    </font>
    <font>
      <b/>
      <sz val="20"/>
      <name val="Arial"/>
      <family val="2"/>
    </font>
    <font>
      <b/>
      <sz val="10"/>
      <color indexed="8"/>
      <name val="Arial"/>
      <family val="2"/>
    </font>
    <font>
      <b/>
      <sz val="12"/>
      <color indexed="8"/>
      <name val="Arial"/>
      <family val="2"/>
    </font>
    <font>
      <sz val="10"/>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30"/>
      <name val="Arial"/>
      <family val="2"/>
    </font>
    <font>
      <b/>
      <sz val="10"/>
      <color indexed="30"/>
      <name val="Arial"/>
      <family val="2"/>
    </font>
    <font>
      <b/>
      <sz val="14"/>
      <color indexed="8"/>
      <name val="Arial"/>
      <family val="2"/>
    </font>
    <font>
      <sz val="14"/>
      <color indexed="8"/>
      <name val="Arial"/>
      <family val="2"/>
    </font>
    <font>
      <sz val="11"/>
      <color indexed="8"/>
      <name val="Arial"/>
      <family val="2"/>
    </font>
    <font>
      <sz val="6"/>
      <color indexed="8"/>
      <name val="Arial"/>
      <family val="2"/>
    </font>
    <font>
      <b/>
      <sz val="11"/>
      <color indexed="8"/>
      <name val="Arial"/>
      <family val="2"/>
    </font>
    <font>
      <i/>
      <sz val="11"/>
      <color indexed="8"/>
      <name val="Arial"/>
      <family val="2"/>
    </font>
    <font>
      <sz val="11"/>
      <name val="Calibri"/>
      <family val="2"/>
    </font>
    <font>
      <b/>
      <sz val="1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70C0"/>
      <name val="Arial"/>
      <family val="2"/>
    </font>
    <font>
      <b/>
      <sz val="10"/>
      <color rgb="FF0070C0"/>
      <name val="Arial"/>
      <family val="2"/>
    </font>
    <font>
      <b/>
      <sz val="18"/>
      <color theme="8" tint="-0.4999699890613556"/>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7"/>
        <bgColor indexed="64"/>
      </patternFill>
    </fill>
    <fill>
      <patternFill patternType="solid">
        <fgColor indexed="41"/>
        <bgColor indexed="64"/>
      </patternFill>
    </fill>
    <fill>
      <patternFill patternType="solid">
        <fgColor indexed="50"/>
        <bgColor indexed="64"/>
      </patternFill>
    </fill>
    <fill>
      <patternFill patternType="solid">
        <fgColor indexed="15"/>
        <bgColor indexed="64"/>
      </patternFill>
    </fill>
    <fill>
      <patternFill patternType="solid">
        <fgColor rgb="FFFF7F2F"/>
        <bgColor indexed="64"/>
      </patternFill>
    </fill>
    <fill>
      <patternFill patternType="solid">
        <fgColor rgb="FFF9BE00"/>
        <bgColor indexed="64"/>
      </patternFill>
    </fill>
    <fill>
      <patternFill patternType="solid">
        <fgColor rgb="FF78B143"/>
        <bgColor indexed="64"/>
      </patternFill>
    </fill>
    <fill>
      <patternFill patternType="solid">
        <fgColor rgb="FFB2B2B2"/>
        <bgColor indexed="64"/>
      </patternFill>
    </fill>
    <fill>
      <patternFill patternType="solid">
        <fgColor rgb="FF00ABE6"/>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dotted"/>
      <right style="thin"/>
      <top>
        <color indexed="63"/>
      </top>
      <bottom style="thin"/>
    </border>
    <border>
      <left style="medium"/>
      <right style="medium"/>
      <top>
        <color indexed="63"/>
      </top>
      <bottom>
        <color indexed="63"/>
      </bottom>
    </border>
    <border>
      <left style="medium"/>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diagonalDown="1">
      <left style="medium"/>
      <right style="medium"/>
      <top>
        <color indexed="63"/>
      </top>
      <bottom style="thin"/>
      <diagonal style="thin"/>
    </border>
    <border>
      <left style="medium"/>
      <right style="medium"/>
      <top style="thin"/>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style="medium"/>
      <bottom>
        <color indexed="63"/>
      </bottom>
    </border>
    <border>
      <left style="medium"/>
      <right style="medium"/>
      <top style="medium"/>
      <bottom style="thin"/>
    </border>
    <border>
      <left>
        <color indexed="63"/>
      </left>
      <right style="thin"/>
      <top style="medium"/>
      <bottom style="thin"/>
    </border>
    <border>
      <left style="medium"/>
      <right>
        <color indexed="63"/>
      </right>
      <top style="thin"/>
      <bottom style="medium"/>
    </border>
    <border>
      <left>
        <color indexed="63"/>
      </left>
      <right style="medium"/>
      <top style="thin"/>
      <bottom>
        <color indexed="63"/>
      </bottom>
    </border>
    <border>
      <left style="medium"/>
      <right style="hair"/>
      <top>
        <color indexed="63"/>
      </top>
      <bottom style="thin"/>
    </border>
    <border>
      <left style="medium"/>
      <right style="hair"/>
      <top style="medium"/>
      <bottom style="medium"/>
    </border>
    <border>
      <left style="medium"/>
      <right style="hair"/>
      <top>
        <color indexed="63"/>
      </top>
      <bottom>
        <color indexed="63"/>
      </bottom>
    </border>
    <border>
      <left style="thin"/>
      <right style="medium"/>
      <top style="medium"/>
      <bottom style="medium"/>
    </border>
    <border>
      <left style="thin"/>
      <right style="medium"/>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82">
    <xf numFmtId="0" fontId="0" fillId="0" borderId="0" xfId="0" applyAlignment="1">
      <alignment/>
    </xf>
    <xf numFmtId="0" fontId="9" fillId="33" borderId="10" xfId="0" applyFont="1" applyFill="1" applyBorder="1" applyAlignment="1" applyProtection="1">
      <alignment horizontal="center"/>
      <protection locked="0"/>
    </xf>
    <xf numFmtId="0" fontId="2" fillId="33" borderId="10" xfId="0" applyFont="1" applyFill="1" applyBorder="1" applyAlignment="1" applyProtection="1">
      <alignment vertical="center"/>
      <protection locked="0"/>
    </xf>
    <xf numFmtId="0" fontId="2" fillId="33" borderId="10" xfId="0" applyFont="1" applyFill="1" applyBorder="1" applyAlignment="1" applyProtection="1">
      <alignment horizontal="center"/>
      <protection locked="0"/>
    </xf>
    <xf numFmtId="0" fontId="11" fillId="33" borderId="11" xfId="0" applyFont="1" applyFill="1" applyBorder="1" applyAlignment="1" applyProtection="1">
      <alignment horizontal="left" vertical="center" wrapText="1"/>
      <protection locked="0"/>
    </xf>
    <xf numFmtId="0" fontId="11" fillId="33" borderId="12" xfId="0" applyFont="1" applyFill="1" applyBorder="1" applyAlignment="1" applyProtection="1">
      <alignment horizontal="right" vertical="center"/>
      <protection locked="0"/>
    </xf>
    <xf numFmtId="0" fontId="11" fillId="33" borderId="13" xfId="0" applyFont="1" applyFill="1" applyBorder="1" applyAlignment="1" applyProtection="1">
      <alignment horizontal="right" vertical="center"/>
      <protection locked="0"/>
    </xf>
    <xf numFmtId="3" fontId="11" fillId="33" borderId="12" xfId="0" applyNumberFormat="1" applyFont="1" applyFill="1" applyBorder="1" applyAlignment="1" applyProtection="1">
      <alignment vertical="center"/>
      <protection locked="0"/>
    </xf>
    <xf numFmtId="0" fontId="14"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protection/>
    </xf>
    <xf numFmtId="0" fontId="13" fillId="0" borderId="0" xfId="0" applyFont="1" applyAlignment="1" applyProtection="1">
      <alignment vertical="center"/>
      <protection/>
    </xf>
    <xf numFmtId="0" fontId="0" fillId="0" borderId="0" xfId="0" applyAlignment="1" applyProtection="1">
      <alignment horizontal="center" vertical="center"/>
      <protection/>
    </xf>
    <xf numFmtId="0" fontId="15" fillId="0" borderId="0" xfId="0" applyFont="1" applyAlignment="1" applyProtection="1">
      <alignment/>
      <protection/>
    </xf>
    <xf numFmtId="0" fontId="0" fillId="0" borderId="0" xfId="0" applyFont="1" applyAlignment="1" applyProtection="1">
      <alignment horizontal="right" vertical="center"/>
      <protection/>
    </xf>
    <xf numFmtId="10" fontId="0" fillId="0" borderId="0" xfId="0" applyNumberFormat="1" applyFill="1" applyAlignment="1" applyProtection="1">
      <alignment vertical="center"/>
      <protection/>
    </xf>
    <xf numFmtId="10" fontId="2" fillId="0" borderId="14" xfId="0" applyNumberFormat="1" applyFont="1" applyFill="1" applyBorder="1" applyAlignment="1" applyProtection="1">
      <alignment horizontal="center" vertical="center"/>
      <protection/>
    </xf>
    <xf numFmtId="0" fontId="10" fillId="0" borderId="10" xfId="0" applyFont="1" applyBorder="1" applyAlignment="1" applyProtection="1">
      <alignment vertical="center"/>
      <protection/>
    </xf>
    <xf numFmtId="0" fontId="4" fillId="0" borderId="0" xfId="0" applyFont="1" applyFill="1" applyAlignment="1" applyProtection="1">
      <alignment vertical="center"/>
      <protection/>
    </xf>
    <xf numFmtId="0" fontId="13" fillId="0" borderId="0" xfId="0" applyFont="1" applyAlignment="1" applyProtection="1">
      <alignment vertical="center"/>
      <protection/>
    </xf>
    <xf numFmtId="0" fontId="10" fillId="0" borderId="10" xfId="0" applyFont="1" applyBorder="1" applyAlignment="1" applyProtection="1">
      <alignment/>
      <protection/>
    </xf>
    <xf numFmtId="0" fontId="2" fillId="0" borderId="10" xfId="0" applyFont="1" applyFill="1" applyBorder="1" applyAlignment="1" applyProtection="1">
      <alignment horizontal="center"/>
      <protection/>
    </xf>
    <xf numFmtId="0" fontId="0" fillId="0" borderId="0" xfId="0" applyAlignment="1" applyProtection="1">
      <alignment/>
      <protection/>
    </xf>
    <xf numFmtId="0" fontId="0" fillId="0" borderId="15" xfId="0"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0"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3" fontId="11" fillId="0" borderId="13" xfId="0" applyNumberFormat="1" applyFont="1" applyFill="1" applyBorder="1" applyAlignment="1" applyProtection="1">
      <alignment horizontal="right" vertical="center"/>
      <protection/>
    </xf>
    <xf numFmtId="3" fontId="11" fillId="0" borderId="12" xfId="0" applyNumberFormat="1" applyFont="1" applyFill="1" applyBorder="1" applyAlignment="1" applyProtection="1" quotePrefix="1">
      <alignment horizontal="right" vertical="center"/>
      <protection/>
    </xf>
    <xf numFmtId="3" fontId="11" fillId="0" borderId="10" xfId="0" applyNumberFormat="1" applyFont="1" applyFill="1" applyBorder="1" applyAlignment="1" applyProtection="1" quotePrefix="1">
      <alignment horizontal="right" vertical="center"/>
      <protection/>
    </xf>
    <xf numFmtId="3" fontId="11" fillId="0" borderId="13" xfId="0" applyNumberFormat="1" applyFont="1" applyFill="1" applyBorder="1" applyAlignment="1" applyProtection="1" quotePrefix="1">
      <alignment horizontal="right" vertical="center"/>
      <protection/>
    </xf>
    <xf numFmtId="3" fontId="11" fillId="34" borderId="11" xfId="0" applyNumberFormat="1" applyFont="1" applyFill="1" applyBorder="1" applyAlignment="1" applyProtection="1">
      <alignment horizontal="right" vertical="center"/>
      <protection/>
    </xf>
    <xf numFmtId="0" fontId="10" fillId="0" borderId="16" xfId="0" applyFont="1" applyBorder="1" applyAlignment="1" applyProtection="1">
      <alignment horizontal="center" vertical="center" wrapText="1"/>
      <protection/>
    </xf>
    <xf numFmtId="0" fontId="11" fillId="0" borderId="12" xfId="0" applyFont="1" applyFill="1" applyBorder="1" applyAlignment="1" applyProtection="1">
      <alignment horizontal="right" vertical="center"/>
      <protection/>
    </xf>
    <xf numFmtId="0" fontId="11" fillId="0" borderId="10" xfId="0" applyFont="1" applyFill="1" applyBorder="1" applyAlignment="1" applyProtection="1">
      <alignment horizontal="right" vertical="center"/>
      <protection/>
    </xf>
    <xf numFmtId="0" fontId="11" fillId="0" borderId="13" xfId="0" applyFont="1" applyFill="1" applyBorder="1" applyAlignment="1" applyProtection="1">
      <alignment horizontal="right" vertical="center"/>
      <protection/>
    </xf>
    <xf numFmtId="3" fontId="11" fillId="0" borderId="12" xfId="0" applyNumberFormat="1" applyFont="1" applyFill="1" applyBorder="1" applyAlignment="1" applyProtection="1">
      <alignment horizontal="right" vertical="center"/>
      <protection/>
    </xf>
    <xf numFmtId="3" fontId="11" fillId="0" borderId="10" xfId="0" applyNumberFormat="1" applyFont="1" applyFill="1" applyBorder="1" applyAlignment="1" applyProtection="1">
      <alignment horizontal="right" vertical="center"/>
      <protection/>
    </xf>
    <xf numFmtId="0" fontId="11" fillId="0" borderId="0" xfId="0" applyFont="1" applyAlignment="1" applyProtection="1">
      <alignment vertical="center"/>
      <protection/>
    </xf>
    <xf numFmtId="0" fontId="10" fillId="0" borderId="0" xfId="0" applyFont="1" applyBorder="1" applyAlignment="1" applyProtection="1">
      <alignment vertical="center"/>
      <protection/>
    </xf>
    <xf numFmtId="0" fontId="10" fillId="0" borderId="0" xfId="0" applyFont="1" applyFill="1" applyBorder="1" applyAlignment="1" applyProtection="1">
      <alignment horizontal="right" vertical="center"/>
      <protection/>
    </xf>
    <xf numFmtId="0" fontId="0" fillId="0" borderId="0" xfId="0" applyAlignment="1" applyProtection="1">
      <alignment vertical="center" wrapText="1"/>
      <protection/>
    </xf>
    <xf numFmtId="0" fontId="10" fillId="0" borderId="0" xfId="0" applyFont="1"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Fill="1" applyBorder="1" applyAlignment="1" applyProtection="1">
      <alignment horizontal="right" vertical="center"/>
      <protection/>
    </xf>
    <xf numFmtId="3" fontId="0" fillId="0" borderId="0" xfId="0"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1" fillId="0" borderId="17"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188" fontId="0" fillId="0" borderId="0" xfId="0" applyNumberFormat="1" applyFill="1" applyAlignment="1" applyProtection="1">
      <alignment vertical="center"/>
      <protection/>
    </xf>
    <xf numFmtId="0" fontId="4" fillId="0" borderId="0" xfId="0" applyFont="1" applyAlignment="1" applyProtection="1">
      <alignment/>
      <protection/>
    </xf>
    <xf numFmtId="0" fontId="0" fillId="0" borderId="0" xfId="0" applyAlignment="1" applyProtection="1">
      <alignment horizontal="right" vertical="center"/>
      <protection/>
    </xf>
    <xf numFmtId="0" fontId="0" fillId="0" borderId="0" xfId="0" applyFont="1" applyAlignment="1" applyProtection="1">
      <alignment/>
      <protection/>
    </xf>
    <xf numFmtId="0" fontId="0" fillId="0" borderId="0" xfId="0" applyFont="1" applyAlignment="1" applyProtection="1">
      <alignment vertical="center" wrapText="1"/>
      <protection/>
    </xf>
    <xf numFmtId="177" fontId="0" fillId="0" borderId="0" xfId="0" applyNumberFormat="1" applyFont="1" applyAlignment="1" applyProtection="1">
      <alignment horizontal="right" vertical="center"/>
      <protection/>
    </xf>
    <xf numFmtId="0" fontId="0" fillId="0" borderId="0" xfId="0" applyFont="1" applyAlignment="1" applyProtection="1">
      <alignment vertical="center"/>
      <protection/>
    </xf>
    <xf numFmtId="0" fontId="14" fillId="0" borderId="0" xfId="0" applyFont="1" applyAlignment="1" applyProtection="1">
      <alignment horizontal="center" vertical="center" wrapText="1"/>
      <protection/>
    </xf>
    <xf numFmtId="0" fontId="0" fillId="0" borderId="0" xfId="0" applyAlignment="1" applyProtection="1">
      <alignment horizontal="center" wrapText="1"/>
      <protection/>
    </xf>
    <xf numFmtId="3" fontId="0" fillId="35"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177" fontId="2" fillId="0" borderId="0" xfId="0" applyNumberFormat="1" applyFont="1" applyFill="1" applyBorder="1" applyAlignment="1" applyProtection="1">
      <alignment horizontal="center" vertical="center" wrapText="1"/>
      <protection/>
    </xf>
    <xf numFmtId="177" fontId="2" fillId="0" borderId="19"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11" fillId="0" borderId="0" xfId="0" applyFont="1" applyFill="1" applyAlignment="1" applyProtection="1">
      <alignment/>
      <protection/>
    </xf>
    <xf numFmtId="177" fontId="2" fillId="36" borderId="20" xfId="0" applyNumberFormat="1" applyFont="1" applyFill="1" applyBorder="1" applyAlignment="1" applyProtection="1">
      <alignment horizontal="center" vertical="center" wrapText="1"/>
      <protection/>
    </xf>
    <xf numFmtId="177" fontId="2" fillId="36" borderId="21" xfId="0" applyNumberFormat="1" applyFont="1" applyFill="1" applyBorder="1" applyAlignment="1" applyProtection="1">
      <alignment horizontal="center" vertical="center" wrapText="1"/>
      <protection/>
    </xf>
    <xf numFmtId="177" fontId="2" fillId="36" borderId="22" xfId="0" applyNumberFormat="1" applyFont="1" applyFill="1" applyBorder="1" applyAlignment="1" applyProtection="1">
      <alignment horizontal="center" vertical="center" wrapText="1"/>
      <protection/>
    </xf>
    <xf numFmtId="177" fontId="2" fillId="36" borderId="23" xfId="0" applyNumberFormat="1" applyFont="1" applyFill="1" applyBorder="1" applyAlignment="1" applyProtection="1">
      <alignment horizontal="center" vertical="center" wrapText="1"/>
      <protection/>
    </xf>
    <xf numFmtId="0" fontId="2" fillId="0" borderId="0" xfId="0" applyFont="1" applyFill="1" applyAlignment="1" applyProtection="1">
      <alignment/>
      <protection/>
    </xf>
    <xf numFmtId="0" fontId="2" fillId="0" borderId="0" xfId="0" applyFont="1" applyFill="1" applyAlignment="1" applyProtection="1">
      <alignment vertical="center" wrapText="1"/>
      <protection/>
    </xf>
    <xf numFmtId="0" fontId="2" fillId="0" borderId="0" xfId="0" applyFont="1" applyFill="1" applyBorder="1" applyAlignment="1" applyProtection="1">
      <alignment horizontal="justify" vertical="center" wrapText="1"/>
      <protection/>
    </xf>
    <xf numFmtId="176" fontId="0" fillId="0" borderId="0" xfId="0" applyNumberFormat="1" applyFill="1" applyAlignment="1" applyProtection="1">
      <alignment vertical="center" wrapText="1"/>
      <protection/>
    </xf>
    <xf numFmtId="0" fontId="2" fillId="0" borderId="0" xfId="0" applyFont="1" applyFill="1" applyAlignment="1" applyProtection="1">
      <alignment vertical="center"/>
      <protection/>
    </xf>
    <xf numFmtId="177" fontId="2" fillId="0" borderId="0" xfId="0" applyNumberFormat="1" applyFont="1" applyFill="1" applyBorder="1" applyAlignment="1" applyProtection="1">
      <alignment horizontal="right" vertical="center" wrapText="1"/>
      <protection/>
    </xf>
    <xf numFmtId="0" fontId="17" fillId="0" borderId="0" xfId="0" applyFont="1" applyAlignment="1" applyProtection="1">
      <alignment/>
      <protection/>
    </xf>
    <xf numFmtId="0" fontId="13" fillId="0" borderId="0" xfId="0" applyFont="1" applyFill="1" applyAlignment="1" applyProtection="1">
      <alignment vertical="center"/>
      <protection/>
    </xf>
    <xf numFmtId="0" fontId="0" fillId="0" borderId="0" xfId="0" applyFill="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Alignment="1" applyProtection="1">
      <alignment vertical="center"/>
      <protection/>
    </xf>
    <xf numFmtId="3" fontId="0" fillId="0" borderId="0" xfId="0" applyNumberFormat="1" applyFill="1" applyAlignment="1" applyProtection="1">
      <alignment vertical="center"/>
      <protection/>
    </xf>
    <xf numFmtId="3" fontId="0" fillId="0" borderId="0" xfId="0" applyNumberFormat="1" applyFill="1" applyBorder="1" applyAlignment="1" applyProtection="1">
      <alignment vertical="center"/>
      <protection/>
    </xf>
    <xf numFmtId="0" fontId="0" fillId="0" borderId="0" xfId="0" applyFill="1" applyAlignment="1" applyProtection="1">
      <alignment/>
      <protection/>
    </xf>
    <xf numFmtId="0" fontId="0" fillId="0" borderId="0" xfId="0" applyBorder="1" applyAlignment="1" applyProtection="1">
      <alignment/>
      <protection/>
    </xf>
    <xf numFmtId="176" fontId="0" fillId="0" borderId="0" xfId="0" applyNumberFormat="1" applyFill="1" applyBorder="1" applyAlignment="1" applyProtection="1">
      <alignment vertical="center"/>
      <protection/>
    </xf>
    <xf numFmtId="177" fontId="2" fillId="37" borderId="16" xfId="0" applyNumberFormat="1" applyFont="1" applyFill="1" applyBorder="1" applyAlignment="1" applyProtection="1">
      <alignment horizontal="center" vertical="center" wrapText="1"/>
      <protection/>
    </xf>
    <xf numFmtId="3" fontId="0" fillId="33" borderId="15" xfId="0" applyNumberFormat="1" applyFont="1" applyFill="1" applyBorder="1" applyAlignment="1" applyProtection="1">
      <alignment horizontal="right" vertical="center" wrapText="1"/>
      <protection/>
    </xf>
    <xf numFmtId="3" fontId="0" fillId="33" borderId="24" xfId="0" applyNumberFormat="1" applyFont="1" applyFill="1" applyBorder="1" applyAlignment="1" applyProtection="1">
      <alignment horizontal="right" vertical="center" wrapText="1"/>
      <protection/>
    </xf>
    <xf numFmtId="0" fontId="0" fillId="35" borderId="0" xfId="0" applyFont="1" applyFill="1" applyBorder="1" applyAlignment="1" applyProtection="1">
      <alignment horizontal="justify" vertical="center" wrapText="1"/>
      <protection/>
    </xf>
    <xf numFmtId="3" fontId="0" fillId="35" borderId="0" xfId="0" applyNumberFormat="1" applyFont="1" applyFill="1" applyBorder="1" applyAlignment="1" applyProtection="1">
      <alignment horizontal="right" vertical="center" wrapText="1"/>
      <protection/>
    </xf>
    <xf numFmtId="177" fontId="2" fillId="38" borderId="16" xfId="0" applyNumberFormat="1" applyFont="1" applyFill="1" applyBorder="1" applyAlignment="1" applyProtection="1">
      <alignment horizontal="center" vertical="center" wrapText="1"/>
      <protection/>
    </xf>
    <xf numFmtId="6" fontId="0" fillId="33" borderId="25" xfId="0" applyNumberFormat="1" applyFont="1" applyFill="1" applyBorder="1" applyAlignment="1" applyProtection="1">
      <alignment horizontal="center" vertical="center" wrapText="1"/>
      <protection/>
    </xf>
    <xf numFmtId="6" fontId="0" fillId="35" borderId="15" xfId="0" applyNumberFormat="1" applyFont="1" applyFill="1" applyBorder="1" applyAlignment="1" applyProtection="1">
      <alignment horizontal="center" vertical="center" wrapText="1"/>
      <protection/>
    </xf>
    <xf numFmtId="177" fontId="0" fillId="33" borderId="15" xfId="0" applyNumberFormat="1" applyFont="1" applyFill="1" applyBorder="1" applyAlignment="1" applyProtection="1">
      <alignment horizontal="center" vertical="center" wrapText="1"/>
      <protection/>
    </xf>
    <xf numFmtId="6" fontId="2" fillId="39" borderId="15" xfId="0" applyNumberFormat="1" applyFont="1" applyFill="1" applyBorder="1" applyAlignment="1" applyProtection="1">
      <alignment horizontal="center" vertical="center" wrapText="1"/>
      <protection/>
    </xf>
    <xf numFmtId="177" fontId="0" fillId="35" borderId="15" xfId="0" applyNumberFormat="1" applyFont="1" applyFill="1" applyBorder="1" applyAlignment="1" applyProtection="1">
      <alignment horizontal="center" vertical="center" wrapText="1"/>
      <protection/>
    </xf>
    <xf numFmtId="177" fontId="2" fillId="39" borderId="24" xfId="0" applyNumberFormat="1" applyFont="1" applyFill="1" applyBorder="1" applyAlignment="1" applyProtection="1">
      <alignment horizontal="center" vertical="center" wrapText="1"/>
      <protection/>
    </xf>
    <xf numFmtId="177" fontId="2" fillId="0" borderId="25" xfId="0" applyNumberFormat="1" applyFont="1" applyFill="1" applyBorder="1" applyAlignment="1" applyProtection="1">
      <alignment horizontal="center" vertical="center" wrapText="1"/>
      <protection/>
    </xf>
    <xf numFmtId="177" fontId="0" fillId="33" borderId="25" xfId="0" applyNumberFormat="1" applyFont="1" applyFill="1" applyBorder="1" applyAlignment="1" applyProtection="1">
      <alignment horizontal="center" vertical="center" wrapText="1"/>
      <protection/>
    </xf>
    <xf numFmtId="177" fontId="2" fillId="39" borderId="15" xfId="0" applyNumberFormat="1" applyFont="1" applyFill="1" applyBorder="1" applyAlignment="1" applyProtection="1">
      <alignment horizontal="center" vertical="center" wrapText="1"/>
      <protection/>
    </xf>
    <xf numFmtId="177" fontId="4" fillId="33" borderId="15" xfId="0" applyNumberFormat="1" applyFont="1" applyFill="1" applyBorder="1" applyAlignment="1" applyProtection="1">
      <alignment horizontal="center" vertical="center" wrapText="1"/>
      <protection/>
    </xf>
    <xf numFmtId="177" fontId="2" fillId="36" borderId="16" xfId="0" applyNumberFormat="1" applyFont="1" applyFill="1" applyBorder="1" applyAlignment="1" applyProtection="1">
      <alignment horizontal="center" vertical="center" wrapText="1"/>
      <protection/>
    </xf>
    <xf numFmtId="177" fontId="0" fillId="0" borderId="25" xfId="0" applyNumberFormat="1" applyFont="1" applyFill="1" applyBorder="1" applyAlignment="1" applyProtection="1">
      <alignment horizontal="center" vertical="center" wrapText="1"/>
      <protection/>
    </xf>
    <xf numFmtId="0" fontId="0" fillId="0" borderId="26" xfId="0" applyFont="1" applyFill="1" applyBorder="1" applyAlignment="1" applyProtection="1">
      <alignment vertical="center"/>
      <protection/>
    </xf>
    <xf numFmtId="0" fontId="4" fillId="0" borderId="27" xfId="0" applyFont="1" applyFill="1" applyBorder="1" applyAlignment="1" applyProtection="1">
      <alignment vertical="center"/>
      <protection/>
    </xf>
    <xf numFmtId="9" fontId="0" fillId="0" borderId="27" xfId="59" applyFont="1" applyBorder="1" applyAlignment="1" applyProtection="1">
      <alignment vertical="center"/>
      <protection/>
    </xf>
    <xf numFmtId="9" fontId="0" fillId="0" borderId="28" xfId="59" applyFont="1" applyBorder="1" applyAlignment="1" applyProtection="1">
      <alignment vertical="center"/>
      <protection/>
    </xf>
    <xf numFmtId="177" fontId="11" fillId="0" borderId="27" xfId="0" applyNumberFormat="1" applyFont="1" applyFill="1" applyBorder="1" applyAlignment="1" applyProtection="1">
      <alignment horizontal="right" vertical="center"/>
      <protection/>
    </xf>
    <xf numFmtId="177" fontId="11" fillId="0" borderId="0" xfId="0" applyNumberFormat="1" applyFont="1" applyFill="1" applyBorder="1" applyAlignment="1" applyProtection="1">
      <alignment horizontal="center" vertical="center"/>
      <protection/>
    </xf>
    <xf numFmtId="3" fontId="11" fillId="0" borderId="0" xfId="0" applyNumberFormat="1" applyFont="1" applyFill="1" applyBorder="1" applyAlignment="1" applyProtection="1">
      <alignment horizontal="right" vertical="center"/>
      <protection/>
    </xf>
    <xf numFmtId="177" fontId="0" fillId="0" borderId="10" xfId="0" applyNumberFormat="1" applyFont="1" applyFill="1" applyBorder="1" applyAlignment="1" applyProtection="1">
      <alignment horizontal="center" vertical="center" wrapText="1"/>
      <protection/>
    </xf>
    <xf numFmtId="177" fontId="2" fillId="36" borderId="10" xfId="0" applyNumberFormat="1" applyFont="1" applyFill="1" applyBorder="1" applyAlignment="1" applyProtection="1">
      <alignment horizontal="center" vertical="center" wrapText="1"/>
      <protection/>
    </xf>
    <xf numFmtId="188" fontId="11" fillId="39" borderId="29" xfId="0" applyNumberFormat="1" applyFont="1" applyFill="1" applyBorder="1" applyAlignment="1" applyProtection="1">
      <alignment horizontal="right" vertical="center"/>
      <protection/>
    </xf>
    <xf numFmtId="188" fontId="11" fillId="39" borderId="30" xfId="0" applyNumberFormat="1" applyFont="1" applyFill="1" applyBorder="1" applyAlignment="1" applyProtection="1">
      <alignment horizontal="right" vertical="center"/>
      <protection/>
    </xf>
    <xf numFmtId="188" fontId="11" fillId="39" borderId="31" xfId="0" applyNumberFormat="1" applyFont="1" applyFill="1" applyBorder="1" applyAlignment="1" applyProtection="1">
      <alignment horizontal="right" vertical="center"/>
      <protection/>
    </xf>
    <xf numFmtId="177" fontId="11" fillId="34" borderId="32" xfId="0" applyNumberFormat="1" applyFont="1" applyFill="1" applyBorder="1" applyAlignment="1" applyProtection="1">
      <alignment horizontal="right" vertical="center"/>
      <protection/>
    </xf>
    <xf numFmtId="177" fontId="11" fillId="40" borderId="12" xfId="0" applyNumberFormat="1" applyFont="1" applyFill="1" applyBorder="1" applyAlignment="1" applyProtection="1">
      <alignment horizontal="right" vertical="center"/>
      <protection/>
    </xf>
    <xf numFmtId="177" fontId="11" fillId="40" borderId="10" xfId="0" applyNumberFormat="1" applyFont="1" applyFill="1" applyBorder="1" applyAlignment="1" applyProtection="1">
      <alignment horizontal="right" vertical="center"/>
      <protection/>
    </xf>
    <xf numFmtId="177" fontId="11" fillId="34" borderId="33" xfId="0" applyNumberFormat="1" applyFont="1" applyFill="1" applyBorder="1" applyAlignment="1" applyProtection="1">
      <alignment horizontal="right" vertical="center"/>
      <protection/>
    </xf>
    <xf numFmtId="177" fontId="11" fillId="40" borderId="34" xfId="0" applyNumberFormat="1" applyFont="1" applyFill="1" applyBorder="1" applyAlignment="1" applyProtection="1">
      <alignment horizontal="right" vertical="center"/>
      <protection/>
    </xf>
    <xf numFmtId="177" fontId="11" fillId="40" borderId="35" xfId="0" applyNumberFormat="1" applyFont="1" applyFill="1" applyBorder="1" applyAlignment="1" applyProtection="1">
      <alignment horizontal="right" vertical="center"/>
      <protection/>
    </xf>
    <xf numFmtId="177" fontId="11" fillId="34" borderId="36" xfId="0" applyNumberFormat="1" applyFont="1" applyFill="1" applyBorder="1" applyAlignment="1" applyProtection="1">
      <alignment horizontal="right" vertical="center"/>
      <protection/>
    </xf>
    <xf numFmtId="0" fontId="11" fillId="0" borderId="11" xfId="0" applyFont="1" applyFill="1" applyBorder="1" applyAlignment="1" applyProtection="1">
      <alignment horizontal="left" vertical="center" wrapText="1"/>
      <protection/>
    </xf>
    <xf numFmtId="0" fontId="10" fillId="36" borderId="15" xfId="0" applyFont="1" applyFill="1" applyBorder="1" applyAlignment="1" applyProtection="1" quotePrefix="1">
      <alignment horizontal="center" vertical="center" wrapText="1"/>
      <protection/>
    </xf>
    <xf numFmtId="0" fontId="11" fillId="0" borderId="37" xfId="0" applyFont="1" applyFill="1" applyBorder="1" applyAlignment="1" applyProtection="1">
      <alignment horizontal="left" vertical="center" wrapText="1"/>
      <protection/>
    </xf>
    <xf numFmtId="0" fontId="10" fillId="0" borderId="0" xfId="0" applyFont="1" applyAlignment="1" applyProtection="1" quotePrefix="1">
      <alignment horizontal="right"/>
      <protection/>
    </xf>
    <xf numFmtId="0" fontId="10" fillId="0" borderId="0" xfId="0" applyFont="1" applyFill="1" applyBorder="1" applyAlignment="1" applyProtection="1" quotePrefix="1">
      <alignment horizontal="right" vertical="center"/>
      <protection/>
    </xf>
    <xf numFmtId="0" fontId="0" fillId="0" borderId="0" xfId="0" applyFill="1" applyBorder="1" applyAlignment="1">
      <alignment vertical="center" textRotation="255"/>
    </xf>
    <xf numFmtId="0" fontId="2" fillId="0" borderId="0" xfId="0" applyFont="1" applyFill="1" applyBorder="1" applyAlignment="1" applyProtection="1">
      <alignment/>
      <protection/>
    </xf>
    <xf numFmtId="6" fontId="0" fillId="33" borderId="30" xfId="0" applyNumberFormat="1" applyFont="1" applyFill="1" applyBorder="1" applyAlignment="1" applyProtection="1">
      <alignment horizontal="right" vertical="center" wrapText="1"/>
      <protection locked="0"/>
    </xf>
    <xf numFmtId="6" fontId="0" fillId="33" borderId="38" xfId="0" applyNumberFormat="1" applyFont="1" applyFill="1" applyBorder="1" applyAlignment="1" applyProtection="1">
      <alignment horizontal="right" vertical="center" wrapText="1"/>
      <protection locked="0"/>
    </xf>
    <xf numFmtId="6" fontId="0" fillId="33" borderId="32" xfId="0" applyNumberFormat="1" applyFont="1" applyFill="1" applyBorder="1" applyAlignment="1" applyProtection="1">
      <alignment horizontal="right" vertical="center" wrapText="1"/>
      <protection locked="0"/>
    </xf>
    <xf numFmtId="6" fontId="0" fillId="35" borderId="10" xfId="0" applyNumberFormat="1" applyFont="1" applyFill="1" applyBorder="1" applyAlignment="1" applyProtection="1">
      <alignment horizontal="right" vertical="center" wrapText="1"/>
      <protection/>
    </xf>
    <xf numFmtId="6" fontId="0" fillId="35" borderId="27" xfId="0" applyNumberFormat="1" applyFont="1" applyFill="1" applyBorder="1" applyAlignment="1" applyProtection="1">
      <alignment horizontal="right" vertical="center" wrapText="1"/>
      <protection/>
    </xf>
    <xf numFmtId="6" fontId="0" fillId="35" borderId="33" xfId="0" applyNumberFormat="1" applyFont="1" applyFill="1" applyBorder="1" applyAlignment="1" applyProtection="1">
      <alignment horizontal="right" vertical="center" wrapText="1"/>
      <protection/>
    </xf>
    <xf numFmtId="177" fontId="0" fillId="33" borderId="10" xfId="0" applyNumberFormat="1" applyFont="1" applyFill="1" applyBorder="1" applyAlignment="1" applyProtection="1">
      <alignment horizontal="right" vertical="center" wrapText="1"/>
      <protection locked="0"/>
    </xf>
    <xf numFmtId="177" fontId="0" fillId="33" borderId="27" xfId="0" applyNumberFormat="1" applyFont="1" applyFill="1" applyBorder="1" applyAlignment="1" applyProtection="1">
      <alignment horizontal="right" vertical="center" wrapText="1"/>
      <protection locked="0"/>
    </xf>
    <xf numFmtId="177" fontId="0" fillId="33" borderId="33" xfId="0" applyNumberFormat="1" applyFont="1" applyFill="1" applyBorder="1" applyAlignment="1" applyProtection="1">
      <alignment horizontal="right" vertical="center" wrapText="1"/>
      <protection locked="0"/>
    </xf>
    <xf numFmtId="6" fontId="2" fillId="39" borderId="35" xfId="0" applyNumberFormat="1" applyFont="1" applyFill="1" applyBorder="1" applyAlignment="1" applyProtection="1">
      <alignment horizontal="right" vertical="center" wrapText="1"/>
      <protection/>
    </xf>
    <xf numFmtId="6" fontId="2" fillId="39" borderId="39" xfId="0" applyNumberFormat="1" applyFont="1" applyFill="1" applyBorder="1" applyAlignment="1" applyProtection="1">
      <alignment horizontal="right" vertical="center" wrapText="1"/>
      <protection/>
    </xf>
    <xf numFmtId="6" fontId="2" fillId="39" borderId="36" xfId="0" applyNumberFormat="1" applyFont="1" applyFill="1" applyBorder="1" applyAlignment="1" applyProtection="1">
      <alignment horizontal="right" vertical="center" wrapText="1"/>
      <protection/>
    </xf>
    <xf numFmtId="9" fontId="0" fillId="33" borderId="40" xfId="0" applyNumberFormat="1" applyFont="1" applyFill="1" applyBorder="1" applyAlignment="1" applyProtection="1">
      <alignment horizontal="right" vertical="center" wrapText="1"/>
      <protection locked="0"/>
    </xf>
    <xf numFmtId="9" fontId="0" fillId="33" borderId="30" xfId="0" applyNumberFormat="1" applyFont="1" applyFill="1" applyBorder="1" applyAlignment="1" applyProtection="1">
      <alignment horizontal="right" vertical="center" wrapText="1"/>
      <protection locked="0"/>
    </xf>
    <xf numFmtId="9" fontId="0" fillId="33" borderId="38" xfId="0" applyNumberFormat="1" applyFont="1" applyFill="1" applyBorder="1" applyAlignment="1" applyProtection="1">
      <alignment horizontal="right" vertical="center" wrapText="1"/>
      <protection locked="0"/>
    </xf>
    <xf numFmtId="9" fontId="0" fillId="33" borderId="32" xfId="0" applyNumberFormat="1" applyFont="1" applyFill="1" applyBorder="1" applyAlignment="1" applyProtection="1">
      <alignment horizontal="right" vertical="center" wrapText="1"/>
      <protection locked="0"/>
    </xf>
    <xf numFmtId="177" fontId="0" fillId="35" borderId="10" xfId="0" applyNumberFormat="1" applyFont="1" applyFill="1" applyBorder="1" applyAlignment="1" applyProtection="1">
      <alignment horizontal="right" vertical="center" wrapText="1"/>
      <protection/>
    </xf>
    <xf numFmtId="177" fontId="0" fillId="35" borderId="27" xfId="0" applyNumberFormat="1" applyFont="1" applyFill="1" applyBorder="1" applyAlignment="1" applyProtection="1">
      <alignment horizontal="right" vertical="center" wrapText="1"/>
      <protection/>
    </xf>
    <xf numFmtId="177" fontId="0" fillId="35" borderId="33" xfId="0" applyNumberFormat="1" applyFont="1" applyFill="1" applyBorder="1" applyAlignment="1" applyProtection="1">
      <alignment horizontal="right" vertical="center" wrapText="1"/>
      <protection/>
    </xf>
    <xf numFmtId="177" fontId="0" fillId="33" borderId="38" xfId="0" applyNumberFormat="1" applyFont="1" applyFill="1" applyBorder="1" applyAlignment="1" applyProtection="1">
      <alignment horizontal="right" vertical="center" wrapText="1"/>
      <protection locked="0"/>
    </xf>
    <xf numFmtId="177" fontId="0" fillId="33" borderId="30" xfId="0" applyNumberFormat="1" applyFont="1" applyFill="1" applyBorder="1" applyAlignment="1" applyProtection="1">
      <alignment horizontal="right" vertical="center" wrapText="1"/>
      <protection locked="0"/>
    </xf>
    <xf numFmtId="177" fontId="0" fillId="33" borderId="32" xfId="0" applyNumberFormat="1" applyFont="1" applyFill="1" applyBorder="1" applyAlignment="1" applyProtection="1">
      <alignment horizontal="right" vertical="center" wrapText="1"/>
      <protection locked="0"/>
    </xf>
    <xf numFmtId="3" fontId="0" fillId="33" borderId="40" xfId="0" applyNumberFormat="1" applyFont="1" applyFill="1" applyBorder="1" applyAlignment="1" applyProtection="1">
      <alignment horizontal="right" vertical="center" wrapText="1"/>
      <protection locked="0"/>
    </xf>
    <xf numFmtId="3" fontId="0" fillId="33" borderId="30" xfId="0" applyNumberFormat="1" applyFont="1" applyFill="1" applyBorder="1" applyAlignment="1" applyProtection="1">
      <alignment horizontal="right" vertical="center" wrapText="1"/>
      <protection locked="0"/>
    </xf>
    <xf numFmtId="3" fontId="0" fillId="33" borderId="38" xfId="0" applyNumberFormat="1" applyFont="1" applyFill="1" applyBorder="1" applyAlignment="1" applyProtection="1">
      <alignment horizontal="right" vertical="center" wrapText="1"/>
      <protection locked="0"/>
    </xf>
    <xf numFmtId="3" fontId="0" fillId="33" borderId="32" xfId="0" applyNumberFormat="1" applyFont="1" applyFill="1" applyBorder="1" applyAlignment="1" applyProtection="1">
      <alignment horizontal="right" vertical="center" wrapText="1"/>
      <protection locked="0"/>
    </xf>
    <xf numFmtId="3" fontId="0" fillId="33" borderId="41" xfId="0" applyNumberFormat="1" applyFont="1" applyFill="1" applyBorder="1" applyAlignment="1" applyProtection="1">
      <alignment horizontal="right" vertical="center" wrapText="1"/>
      <protection locked="0"/>
    </xf>
    <xf numFmtId="3" fontId="0" fillId="33" borderId="42" xfId="0" applyNumberFormat="1" applyFont="1" applyFill="1" applyBorder="1" applyAlignment="1" applyProtection="1">
      <alignment horizontal="right" vertical="center" wrapText="1"/>
      <protection locked="0"/>
    </xf>
    <xf numFmtId="3" fontId="0" fillId="33" borderId="43" xfId="0" applyNumberFormat="1" applyFont="1" applyFill="1" applyBorder="1" applyAlignment="1" applyProtection="1">
      <alignment horizontal="right" vertical="center" wrapText="1"/>
      <protection locked="0"/>
    </xf>
    <xf numFmtId="3" fontId="0" fillId="33" borderId="44" xfId="0" applyNumberFormat="1" applyFont="1" applyFill="1" applyBorder="1" applyAlignment="1" applyProtection="1">
      <alignment horizontal="right" vertical="center" wrapText="1"/>
      <protection locked="0"/>
    </xf>
    <xf numFmtId="177" fontId="2" fillId="0" borderId="19" xfId="0" applyNumberFormat="1" applyFont="1" applyFill="1" applyBorder="1" applyAlignment="1" applyProtection="1">
      <alignment horizontal="right" vertical="center" wrapText="1"/>
      <protection/>
    </xf>
    <xf numFmtId="9" fontId="2" fillId="33" borderId="27" xfId="59" applyFont="1" applyFill="1" applyBorder="1" applyAlignment="1" applyProtection="1">
      <alignment horizontal="right" vertical="center" wrapText="1"/>
      <protection locked="0"/>
    </xf>
    <xf numFmtId="9" fontId="2" fillId="33" borderId="10" xfId="59" applyFont="1" applyFill="1" applyBorder="1" applyAlignment="1" applyProtection="1">
      <alignment horizontal="right" vertical="center" wrapText="1"/>
      <protection locked="0"/>
    </xf>
    <xf numFmtId="9" fontId="2" fillId="33" borderId="33" xfId="59" applyFont="1" applyFill="1" applyBorder="1" applyAlignment="1" applyProtection="1">
      <alignment horizontal="right" vertical="center" wrapText="1"/>
      <protection locked="0"/>
    </xf>
    <xf numFmtId="3" fontId="11" fillId="39" borderId="45" xfId="0" applyNumberFormat="1" applyFont="1" applyFill="1" applyBorder="1" applyAlignment="1" applyProtection="1">
      <alignment horizontal="right" vertical="center"/>
      <protection/>
    </xf>
    <xf numFmtId="3" fontId="11" fillId="39" borderId="0" xfId="0" applyNumberFormat="1" applyFont="1" applyFill="1" applyBorder="1" applyAlignment="1" applyProtection="1">
      <alignment horizontal="right" vertical="center"/>
      <protection/>
    </xf>
    <xf numFmtId="3" fontId="11" fillId="39" borderId="19" xfId="0" applyNumberFormat="1" applyFont="1" applyFill="1" applyBorder="1" applyAlignment="1" applyProtection="1">
      <alignment horizontal="right" vertical="center"/>
      <protection/>
    </xf>
    <xf numFmtId="3" fontId="11" fillId="0" borderId="46" xfId="0" applyNumberFormat="1" applyFont="1" applyFill="1" applyBorder="1" applyAlignment="1" applyProtection="1">
      <alignment horizontal="right" vertical="center"/>
      <protection/>
    </xf>
    <xf numFmtId="3" fontId="10" fillId="0" borderId="11" xfId="0" applyNumberFormat="1" applyFont="1" applyFill="1" applyBorder="1" applyAlignment="1" applyProtection="1">
      <alignment horizontal="right" vertical="center"/>
      <protection/>
    </xf>
    <xf numFmtId="3" fontId="11" fillId="34" borderId="20" xfId="0" applyNumberFormat="1" applyFont="1" applyFill="1" applyBorder="1" applyAlignment="1" applyProtection="1">
      <alignment horizontal="right" vertical="center"/>
      <protection/>
    </xf>
    <xf numFmtId="3" fontId="11" fillId="34" borderId="22" xfId="0" applyNumberFormat="1" applyFont="1" applyFill="1" applyBorder="1" applyAlignment="1" applyProtection="1">
      <alignment horizontal="right" vertical="center"/>
      <protection/>
    </xf>
    <xf numFmtId="3" fontId="11" fillId="34" borderId="23" xfId="0" applyNumberFormat="1" applyFont="1" applyFill="1" applyBorder="1" applyAlignment="1" applyProtection="1">
      <alignment horizontal="right" vertical="center"/>
      <protection/>
    </xf>
    <xf numFmtId="3" fontId="11" fillId="34" borderId="47" xfId="0" applyNumberFormat="1" applyFont="1" applyFill="1" applyBorder="1" applyAlignment="1" applyProtection="1">
      <alignment horizontal="right" vertical="center"/>
      <protection/>
    </xf>
    <xf numFmtId="0" fontId="0" fillId="0" borderId="0" xfId="0" applyAlignment="1" applyProtection="1" quotePrefix="1">
      <alignment horizontal="left"/>
      <protection/>
    </xf>
    <xf numFmtId="177" fontId="11" fillId="0" borderId="48" xfId="0" applyNumberFormat="1" applyFont="1" applyFill="1" applyBorder="1" applyAlignment="1" applyProtection="1">
      <alignment horizontal="right" vertical="center"/>
      <protection/>
    </xf>
    <xf numFmtId="177" fontId="11" fillId="0" borderId="33" xfId="0" applyNumberFormat="1" applyFont="1" applyFill="1" applyBorder="1" applyAlignment="1" applyProtection="1">
      <alignment horizontal="right" vertical="center"/>
      <protection/>
    </xf>
    <xf numFmtId="177" fontId="11" fillId="0" borderId="49" xfId="0" applyNumberFormat="1" applyFont="1" applyFill="1" applyBorder="1" applyAlignment="1" applyProtection="1">
      <alignment horizontal="right" vertical="center"/>
      <protection/>
    </xf>
    <xf numFmtId="177" fontId="11" fillId="0" borderId="50" xfId="0" applyNumberFormat="1" applyFont="1" applyFill="1" applyBorder="1" applyAlignment="1" applyProtection="1">
      <alignment horizontal="right" vertical="center"/>
      <protection/>
    </xf>
    <xf numFmtId="177" fontId="11" fillId="0" borderId="51" xfId="0" applyNumberFormat="1" applyFont="1" applyFill="1" applyBorder="1" applyAlignment="1" applyProtection="1">
      <alignment horizontal="right" vertical="center"/>
      <protection/>
    </xf>
    <xf numFmtId="177" fontId="11" fillId="40" borderId="28" xfId="0" applyNumberFormat="1" applyFont="1" applyFill="1" applyBorder="1" applyAlignment="1" applyProtection="1">
      <alignment horizontal="right" vertical="center"/>
      <protection/>
    </xf>
    <xf numFmtId="177" fontId="11" fillId="40" borderId="27" xfId="0" applyNumberFormat="1" applyFont="1" applyFill="1" applyBorder="1" applyAlignment="1" applyProtection="1">
      <alignment horizontal="right" vertical="center"/>
      <protection/>
    </xf>
    <xf numFmtId="177" fontId="11" fillId="39" borderId="12" xfId="0" applyNumberFormat="1" applyFont="1" applyFill="1" applyBorder="1" applyAlignment="1" applyProtection="1">
      <alignment horizontal="right" vertical="center"/>
      <protection/>
    </xf>
    <xf numFmtId="177" fontId="11" fillId="39" borderId="10" xfId="0" applyNumberFormat="1" applyFont="1" applyFill="1" applyBorder="1" applyAlignment="1" applyProtection="1">
      <alignment horizontal="right" vertical="center"/>
      <protection/>
    </xf>
    <xf numFmtId="177" fontId="11" fillId="39" borderId="13" xfId="0" applyNumberFormat="1" applyFont="1" applyFill="1" applyBorder="1" applyAlignment="1" applyProtection="1">
      <alignment horizontal="right" vertical="center"/>
      <protection/>
    </xf>
    <xf numFmtId="177" fontId="11" fillId="40" borderId="26" xfId="0" applyNumberFormat="1" applyFont="1" applyFill="1" applyBorder="1" applyAlignment="1" applyProtection="1">
      <alignment horizontal="right" vertical="center"/>
      <protection/>
    </xf>
    <xf numFmtId="177" fontId="11" fillId="34" borderId="11" xfId="0" applyNumberFormat="1" applyFont="1" applyFill="1" applyBorder="1" applyAlignment="1" applyProtection="1">
      <alignment horizontal="right" vertical="center"/>
      <protection/>
    </xf>
    <xf numFmtId="177" fontId="11" fillId="40" borderId="52" xfId="0" applyNumberFormat="1" applyFont="1" applyFill="1" applyBorder="1" applyAlignment="1" applyProtection="1">
      <alignment horizontal="right" vertical="center"/>
      <protection/>
    </xf>
    <xf numFmtId="177" fontId="11" fillId="34" borderId="47" xfId="0" applyNumberFormat="1" applyFont="1" applyFill="1" applyBorder="1" applyAlignment="1" applyProtection="1">
      <alignment horizontal="right" vertical="center"/>
      <protection/>
    </xf>
    <xf numFmtId="0" fontId="10" fillId="0" borderId="0" xfId="0" applyFont="1" applyFill="1" applyBorder="1" applyAlignment="1" applyProtection="1" quotePrefix="1">
      <alignment horizontal="right" vertical="center"/>
      <protection hidden="1"/>
    </xf>
    <xf numFmtId="0" fontId="0" fillId="0" borderId="0" xfId="0" applyBorder="1" applyAlignment="1" applyProtection="1">
      <alignment vertical="center"/>
      <protection/>
    </xf>
    <xf numFmtId="177" fontId="2" fillId="39" borderId="53" xfId="0" applyNumberFormat="1" applyFont="1" applyFill="1" applyBorder="1" applyAlignment="1" applyProtection="1">
      <alignment horizontal="center" vertical="center" wrapText="1"/>
      <protection/>
    </xf>
    <xf numFmtId="177" fontId="2" fillId="39" borderId="54" xfId="0" applyNumberFormat="1" applyFont="1" applyFill="1" applyBorder="1" applyAlignment="1" applyProtection="1">
      <alignment horizontal="center" vertical="center" wrapText="1"/>
      <protection/>
    </xf>
    <xf numFmtId="177" fontId="2" fillId="39" borderId="55" xfId="0" applyNumberFormat="1" applyFont="1" applyFill="1" applyBorder="1" applyAlignment="1" applyProtection="1">
      <alignment horizontal="center" vertical="center" wrapText="1"/>
      <protection/>
    </xf>
    <xf numFmtId="177" fontId="2" fillId="0" borderId="45" xfId="0" applyNumberFormat="1" applyFont="1" applyFill="1" applyBorder="1" applyAlignment="1" applyProtection="1">
      <alignment horizontal="right" vertical="center" wrapText="1"/>
      <protection/>
    </xf>
    <xf numFmtId="9" fontId="2" fillId="33" borderId="48" xfId="59" applyFont="1" applyFill="1" applyBorder="1" applyAlignment="1" applyProtection="1">
      <alignment horizontal="right" vertical="center" wrapText="1"/>
      <protection locked="0"/>
    </xf>
    <xf numFmtId="177" fontId="2" fillId="0" borderId="39" xfId="0" applyNumberFormat="1" applyFont="1" applyFill="1" applyBorder="1" applyAlignment="1" applyProtection="1">
      <alignment horizontal="right" vertical="center" wrapText="1"/>
      <protection/>
    </xf>
    <xf numFmtId="177" fontId="2" fillId="0" borderId="35" xfId="0" applyNumberFormat="1" applyFont="1" applyFill="1" applyBorder="1" applyAlignment="1" applyProtection="1">
      <alignment horizontal="right" vertical="center" wrapText="1"/>
      <protection/>
    </xf>
    <xf numFmtId="177" fontId="2" fillId="0" borderId="36" xfId="0" applyNumberFormat="1" applyFont="1" applyFill="1" applyBorder="1" applyAlignment="1" applyProtection="1">
      <alignment horizontal="right" vertical="center" wrapText="1"/>
      <protection/>
    </xf>
    <xf numFmtId="177" fontId="0" fillId="36" borderId="40" xfId="0" applyNumberFormat="1" applyFont="1" applyFill="1" applyBorder="1" applyAlignment="1" applyProtection="1">
      <alignment horizontal="right" vertical="center" wrapText="1"/>
      <protection/>
    </xf>
    <xf numFmtId="177" fontId="0" fillId="36" borderId="30" xfId="0" applyNumberFormat="1" applyFont="1" applyFill="1" applyBorder="1" applyAlignment="1" applyProtection="1">
      <alignment horizontal="right" vertical="center" wrapText="1"/>
      <protection/>
    </xf>
    <xf numFmtId="177" fontId="0" fillId="36" borderId="38" xfId="0" applyNumberFormat="1" applyFont="1" applyFill="1" applyBorder="1" applyAlignment="1" applyProtection="1">
      <alignment horizontal="right" vertical="center" wrapText="1"/>
      <protection/>
    </xf>
    <xf numFmtId="177" fontId="0" fillId="36" borderId="32" xfId="0" applyNumberFormat="1" applyFont="1" applyFill="1" applyBorder="1" applyAlignment="1" applyProtection="1">
      <alignment horizontal="right" vertical="center" wrapText="1"/>
      <protection/>
    </xf>
    <xf numFmtId="177" fontId="2" fillId="39" borderId="20" xfId="0" applyNumberFormat="1" applyFont="1" applyFill="1" applyBorder="1" applyAlignment="1" applyProtection="1">
      <alignment horizontal="right" vertical="center" wrapText="1"/>
      <protection/>
    </xf>
    <xf numFmtId="177" fontId="2" fillId="39" borderId="21" xfId="0" applyNumberFormat="1" applyFont="1" applyFill="1" applyBorder="1" applyAlignment="1" applyProtection="1">
      <alignment horizontal="right" vertical="center" wrapText="1"/>
      <protection/>
    </xf>
    <xf numFmtId="177" fontId="2" fillId="39" borderId="22" xfId="0" applyNumberFormat="1" applyFont="1" applyFill="1" applyBorder="1" applyAlignment="1" applyProtection="1">
      <alignment horizontal="right" vertical="center" wrapText="1"/>
      <protection/>
    </xf>
    <xf numFmtId="177" fontId="2" fillId="39" borderId="23" xfId="0" applyNumberFormat="1" applyFont="1" applyFill="1" applyBorder="1" applyAlignment="1" applyProtection="1">
      <alignment horizontal="right" vertical="center" wrapText="1"/>
      <protection/>
    </xf>
    <xf numFmtId="0" fontId="11" fillId="35" borderId="45" xfId="0" applyFont="1" applyFill="1" applyBorder="1" applyAlignment="1" applyProtection="1">
      <alignment vertical="center" textRotation="255"/>
      <protection/>
    </xf>
    <xf numFmtId="0" fontId="0" fillId="35" borderId="0" xfId="0" applyFont="1" applyFill="1" applyBorder="1" applyAlignment="1" applyProtection="1">
      <alignment vertical="center" wrapText="1"/>
      <protection/>
    </xf>
    <xf numFmtId="0" fontId="0" fillId="38" borderId="18" xfId="0" applyFont="1" applyFill="1" applyBorder="1" applyAlignment="1" applyProtection="1">
      <alignment horizontal="justify" vertical="center" wrapText="1"/>
      <protection/>
    </xf>
    <xf numFmtId="177" fontId="2" fillId="38" borderId="10" xfId="0" applyNumberFormat="1" applyFont="1" applyFill="1" applyBorder="1" applyAlignment="1" applyProtection="1">
      <alignment horizontal="center" vertical="center" wrapText="1"/>
      <protection/>
    </xf>
    <xf numFmtId="0" fontId="0" fillId="39" borderId="28" xfId="0" applyFont="1" applyFill="1" applyBorder="1" applyAlignment="1" applyProtection="1">
      <alignment horizontal="justify" vertical="center" wrapText="1"/>
      <protection/>
    </xf>
    <xf numFmtId="177" fontId="2" fillId="39" borderId="28" xfId="0" applyNumberFormat="1" applyFont="1" applyFill="1" applyBorder="1" applyAlignment="1" applyProtection="1">
      <alignment horizontal="center" vertical="center" wrapText="1"/>
      <protection/>
    </xf>
    <xf numFmtId="0" fontId="9" fillId="35" borderId="45" xfId="0" applyFont="1" applyFill="1" applyBorder="1" applyAlignment="1" applyProtection="1">
      <alignment vertical="center" textRotation="255"/>
      <protection/>
    </xf>
    <xf numFmtId="177" fontId="2" fillId="35" borderId="56" xfId="0" applyNumberFormat="1" applyFont="1" applyFill="1" applyBorder="1" applyAlignment="1" applyProtection="1">
      <alignment horizontal="center" vertical="center" wrapText="1"/>
      <protection/>
    </xf>
    <xf numFmtId="0" fontId="0" fillId="39" borderId="27" xfId="0" applyFont="1" applyFill="1" applyBorder="1" applyAlignment="1" applyProtection="1">
      <alignment vertical="center" wrapText="1"/>
      <protection/>
    </xf>
    <xf numFmtId="0" fontId="9" fillId="39" borderId="57" xfId="0" applyFont="1" applyFill="1" applyBorder="1" applyAlignment="1" applyProtection="1">
      <alignment vertical="center" textRotation="255"/>
      <protection/>
    </xf>
    <xf numFmtId="177" fontId="2" fillId="39" borderId="25" xfId="0" applyNumberFormat="1" applyFont="1" applyFill="1" applyBorder="1" applyAlignment="1" applyProtection="1">
      <alignment horizontal="center" vertical="center" wrapText="1"/>
      <protection/>
    </xf>
    <xf numFmtId="0" fontId="9" fillId="39" borderId="58" xfId="0" applyFont="1" applyFill="1" applyBorder="1" applyAlignment="1" applyProtection="1">
      <alignment vertical="center" textRotation="255"/>
      <protection/>
    </xf>
    <xf numFmtId="0" fontId="0" fillId="39" borderId="27" xfId="0" applyFont="1" applyFill="1" applyBorder="1" applyAlignment="1" applyProtection="1">
      <alignment horizontal="justify" vertical="center" wrapText="1"/>
      <protection/>
    </xf>
    <xf numFmtId="177" fontId="2" fillId="39" borderId="10" xfId="0" applyNumberFormat="1" applyFont="1" applyFill="1" applyBorder="1" applyAlignment="1" applyProtection="1">
      <alignment horizontal="center" vertical="center" wrapText="1"/>
      <protection/>
    </xf>
    <xf numFmtId="177" fontId="2" fillId="35" borderId="0" xfId="0" applyNumberFormat="1" applyFont="1" applyFill="1" applyBorder="1" applyAlignment="1" applyProtection="1">
      <alignment horizontal="center" vertical="center" wrapText="1"/>
      <protection/>
    </xf>
    <xf numFmtId="0" fontId="2" fillId="41" borderId="18" xfId="0" applyFont="1" applyFill="1" applyBorder="1" applyAlignment="1" applyProtection="1">
      <alignment horizontal="justify" vertical="center" wrapText="1"/>
      <protection/>
    </xf>
    <xf numFmtId="177" fontId="2" fillId="41" borderId="59" xfId="0" applyNumberFormat="1" applyFont="1" applyFill="1" applyBorder="1" applyAlignment="1" applyProtection="1">
      <alignment horizontal="center" vertical="center" wrapText="1"/>
      <protection/>
    </xf>
    <xf numFmtId="9" fontId="2" fillId="33" borderId="12" xfId="59" applyFont="1" applyFill="1" applyBorder="1" applyAlignment="1" applyProtection="1">
      <alignment horizontal="center" vertical="center" wrapText="1"/>
      <protection/>
    </xf>
    <xf numFmtId="0" fontId="2" fillId="39" borderId="27" xfId="0" applyFont="1" applyFill="1" applyBorder="1" applyAlignment="1" applyProtection="1">
      <alignment vertical="center" wrapText="1"/>
      <protection/>
    </xf>
    <xf numFmtId="0" fontId="2" fillId="41" borderId="50" xfId="0" applyFont="1" applyFill="1" applyBorder="1" applyAlignment="1" applyProtection="1">
      <alignment horizontal="justify" vertical="center" wrapText="1"/>
      <protection/>
    </xf>
    <xf numFmtId="177" fontId="2" fillId="41" borderId="58" xfId="0" applyNumberFormat="1" applyFont="1" applyFill="1" applyBorder="1" applyAlignment="1" applyProtection="1">
      <alignment horizontal="center" vertical="center" wrapText="1"/>
      <protection/>
    </xf>
    <xf numFmtId="0" fontId="0" fillId="35" borderId="26" xfId="0" applyFill="1" applyBorder="1" applyAlignment="1" applyProtection="1">
      <alignment horizontal="left" vertical="center" wrapText="1"/>
      <protection/>
    </xf>
    <xf numFmtId="0" fontId="4" fillId="35" borderId="27" xfId="0" applyFont="1" applyFill="1" applyBorder="1" applyAlignment="1" applyProtection="1">
      <alignment horizontal="justify" vertical="center" wrapText="1"/>
      <protection/>
    </xf>
    <xf numFmtId="177" fontId="3" fillId="35" borderId="10" xfId="0" applyNumberFormat="1" applyFont="1" applyFill="1" applyBorder="1" applyAlignment="1" applyProtection="1">
      <alignment horizontal="center" vertical="center" wrapText="1"/>
      <protection/>
    </xf>
    <xf numFmtId="0" fontId="0" fillId="38" borderId="27" xfId="0" applyFont="1" applyFill="1" applyBorder="1" applyAlignment="1" applyProtection="1">
      <alignment vertical="center" wrapText="1"/>
      <protection/>
    </xf>
    <xf numFmtId="0" fontId="0" fillId="38" borderId="28" xfId="0" applyFont="1" applyFill="1" applyBorder="1" applyAlignment="1" applyProtection="1">
      <alignment horizontal="justify" vertical="center" wrapText="1"/>
      <protection/>
    </xf>
    <xf numFmtId="177" fontId="2" fillId="38" borderId="28" xfId="0" applyNumberFormat="1" applyFont="1" applyFill="1" applyBorder="1" applyAlignment="1" applyProtection="1">
      <alignment horizontal="center" vertical="center" wrapText="1"/>
      <protection/>
    </xf>
    <xf numFmtId="0" fontId="2" fillId="36" borderId="27" xfId="0" applyFont="1" applyFill="1" applyBorder="1" applyAlignment="1" applyProtection="1">
      <alignment horizontal="justify" vertical="center" wrapText="1"/>
      <protection/>
    </xf>
    <xf numFmtId="0" fontId="0" fillId="36" borderId="27" xfId="0" applyFill="1" applyBorder="1" applyAlignment="1" applyProtection="1">
      <alignment vertical="center" wrapText="1"/>
      <protection/>
    </xf>
    <xf numFmtId="177" fontId="2" fillId="36" borderId="59" xfId="0" applyNumberFormat="1" applyFont="1" applyFill="1" applyBorder="1" applyAlignment="1" applyProtection="1">
      <alignment horizontal="center" vertical="center" wrapText="1"/>
      <protection/>
    </xf>
    <xf numFmtId="0" fontId="0" fillId="38" borderId="18" xfId="0" applyFill="1" applyBorder="1" applyAlignment="1" applyProtection="1">
      <alignment vertical="center" wrapText="1"/>
      <protection/>
    </xf>
    <xf numFmtId="177" fontId="3" fillId="38" borderId="58" xfId="0" applyNumberFormat="1" applyFont="1" applyFill="1" applyBorder="1" applyAlignment="1" applyProtection="1">
      <alignment horizontal="center" vertical="center" wrapText="1"/>
      <protection/>
    </xf>
    <xf numFmtId="178" fontId="2" fillId="33" borderId="10" xfId="59" applyNumberFormat="1" applyFont="1" applyFill="1" applyBorder="1" applyAlignment="1" applyProtection="1">
      <alignment horizontal="center" vertical="center" wrapText="1"/>
      <protection/>
    </xf>
    <xf numFmtId="177" fontId="25" fillId="39" borderId="58" xfId="0" applyNumberFormat="1" applyFont="1" applyFill="1" applyBorder="1" applyAlignment="1" applyProtection="1">
      <alignment horizontal="center" vertical="center" wrapText="1"/>
      <protection/>
    </xf>
    <xf numFmtId="0" fontId="0" fillId="0" borderId="60" xfId="0" applyFill="1" applyBorder="1" applyAlignment="1" applyProtection="1">
      <alignment vertical="center"/>
      <protection/>
    </xf>
    <xf numFmtId="0" fontId="0" fillId="0" borderId="56" xfId="0" applyFill="1" applyBorder="1" applyAlignment="1" applyProtection="1">
      <alignment vertical="center"/>
      <protection/>
    </xf>
    <xf numFmtId="0" fontId="0" fillId="0" borderId="61" xfId="0" applyFill="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62" xfId="0" applyFont="1" applyBorder="1" applyAlignment="1" applyProtection="1">
      <alignment horizontal="center"/>
      <protection/>
    </xf>
    <xf numFmtId="0" fontId="0" fillId="33" borderId="27" xfId="0" applyFill="1" applyBorder="1" applyAlignment="1" applyProtection="1">
      <alignment/>
      <protection/>
    </xf>
    <xf numFmtId="9" fontId="2" fillId="33" borderId="10" xfId="0" applyNumberFormat="1" applyFont="1" applyFill="1" applyBorder="1" applyAlignment="1" applyProtection="1">
      <alignment horizontal="center" vertical="center" wrapText="1"/>
      <protection/>
    </xf>
    <xf numFmtId="0" fontId="2" fillId="0" borderId="27" xfId="0" applyFont="1" applyBorder="1" applyAlignment="1" applyProtection="1">
      <alignment vertical="center"/>
      <protection/>
    </xf>
    <xf numFmtId="3" fontId="11" fillId="0" borderId="11" xfId="0" applyNumberFormat="1" applyFont="1" applyFill="1" applyBorder="1" applyAlignment="1" applyProtection="1">
      <alignment horizontal="right" vertical="center"/>
      <protection/>
    </xf>
    <xf numFmtId="3" fontId="11" fillId="0" borderId="58" xfId="0" applyNumberFormat="1" applyFont="1" applyFill="1" applyBorder="1" applyAlignment="1" applyProtection="1" quotePrefix="1">
      <alignment horizontal="right" vertical="center"/>
      <protection/>
    </xf>
    <xf numFmtId="3" fontId="11" fillId="0" borderId="63" xfId="0" applyNumberFormat="1" applyFont="1" applyFill="1" applyBorder="1" applyAlignment="1" applyProtection="1" quotePrefix="1">
      <alignment horizontal="right" vertical="center"/>
      <protection/>
    </xf>
    <xf numFmtId="3" fontId="11" fillId="34" borderId="37" xfId="0" applyNumberFormat="1" applyFont="1" applyFill="1" applyBorder="1" applyAlignment="1" applyProtection="1">
      <alignment horizontal="right" vertical="center"/>
      <protection/>
    </xf>
    <xf numFmtId="3" fontId="11" fillId="0" borderId="28" xfId="0" applyNumberFormat="1" applyFont="1" applyFill="1" applyBorder="1" applyAlignment="1" applyProtection="1" quotePrefix="1">
      <alignment horizontal="right" vertical="center"/>
      <protection/>
    </xf>
    <xf numFmtId="0" fontId="11" fillId="33" borderId="28" xfId="0" applyFont="1" applyFill="1" applyBorder="1" applyAlignment="1" applyProtection="1">
      <alignment horizontal="right" vertical="center"/>
      <protection locked="0"/>
    </xf>
    <xf numFmtId="0" fontId="11" fillId="0" borderId="28" xfId="0" applyFont="1" applyFill="1" applyBorder="1" applyAlignment="1" applyProtection="1">
      <alignment horizontal="right" vertical="center"/>
      <protection/>
    </xf>
    <xf numFmtId="0" fontId="11" fillId="33" borderId="27" xfId="0" applyFont="1" applyFill="1" applyBorder="1" applyAlignment="1" applyProtection="1">
      <alignment horizontal="right" vertical="center"/>
      <protection locked="0"/>
    </xf>
    <xf numFmtId="0" fontId="11" fillId="0" borderId="27" xfId="0" applyFont="1" applyFill="1" applyBorder="1" applyAlignment="1" applyProtection="1">
      <alignment horizontal="right" vertical="center"/>
      <protection/>
    </xf>
    <xf numFmtId="0" fontId="2" fillId="0" borderId="28" xfId="0" applyFont="1" applyBorder="1" applyAlignment="1" applyProtection="1">
      <alignment vertical="center"/>
      <protection/>
    </xf>
    <xf numFmtId="0" fontId="10" fillId="0" borderId="28" xfId="0" applyFont="1" applyBorder="1" applyAlignment="1" applyProtection="1">
      <alignment vertical="center"/>
      <protection/>
    </xf>
    <xf numFmtId="3" fontId="11" fillId="0" borderId="61" xfId="0" applyNumberFormat="1" applyFont="1" applyFill="1" applyBorder="1" applyAlignment="1" applyProtection="1" quotePrefix="1">
      <alignment horizontal="right" vertical="center"/>
      <protection/>
    </xf>
    <xf numFmtId="0" fontId="10" fillId="0" borderId="64" xfId="0" applyFont="1" applyBorder="1" applyAlignment="1" applyProtection="1">
      <alignment horizontal="center" vertical="center"/>
      <protection/>
    </xf>
    <xf numFmtId="0" fontId="10" fillId="0" borderId="64" xfId="0" applyFont="1" applyBorder="1" applyAlignment="1" applyProtection="1">
      <alignment horizontal="center" vertical="center" wrapText="1"/>
      <protection/>
    </xf>
    <xf numFmtId="0" fontId="10" fillId="0" borderId="64"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xf>
    <xf numFmtId="0" fontId="10" fillId="0" borderId="65"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0" fillId="0" borderId="0" xfId="0" applyBorder="1" applyAlignment="1" applyProtection="1">
      <alignment/>
      <protection/>
    </xf>
    <xf numFmtId="177" fontId="0" fillId="0" borderId="22" xfId="0" applyNumberFormat="1" applyFont="1" applyBorder="1" applyAlignment="1" applyProtection="1">
      <alignment horizontal="righ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10" fillId="0" borderId="0" xfId="0" applyFont="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Alignment="1" applyProtection="1">
      <alignment vertical="center"/>
      <protection/>
    </xf>
    <xf numFmtId="3" fontId="11" fillId="33" borderId="11" xfId="0" applyNumberFormat="1" applyFont="1" applyFill="1" applyBorder="1" applyAlignment="1" applyProtection="1">
      <alignment horizontal="right" vertical="center"/>
      <protection locked="0"/>
    </xf>
    <xf numFmtId="0" fontId="0" fillId="0" borderId="0" xfId="0" applyFont="1" applyFill="1" applyAlignment="1" applyProtection="1">
      <alignment vertical="center"/>
      <protection/>
    </xf>
    <xf numFmtId="177" fontId="2" fillId="33" borderId="41" xfId="0" applyNumberFormat="1" applyFont="1" applyFill="1" applyBorder="1" applyAlignment="1" applyProtection="1">
      <alignment horizontal="right" vertical="center" wrapText="1"/>
      <protection/>
    </xf>
    <xf numFmtId="177" fontId="2" fillId="33" borderId="35" xfId="0" applyNumberFormat="1" applyFont="1" applyFill="1" applyBorder="1" applyAlignment="1" applyProtection="1">
      <alignment horizontal="right" vertical="center" wrapText="1"/>
      <protection/>
    </xf>
    <xf numFmtId="177" fontId="2" fillId="33" borderId="44" xfId="0" applyNumberFormat="1" applyFont="1" applyFill="1" applyBorder="1" applyAlignment="1" applyProtection="1">
      <alignment horizontal="right" vertical="center" wrapText="1"/>
      <protection/>
    </xf>
    <xf numFmtId="0" fontId="10" fillId="0" borderId="39" xfId="0" applyFont="1" applyBorder="1" applyAlignment="1" applyProtection="1" quotePrefix="1">
      <alignment horizontal="center" vertical="center" wrapText="1"/>
      <protection/>
    </xf>
    <xf numFmtId="177" fontId="11" fillId="0" borderId="12" xfId="0" applyNumberFormat="1" applyFont="1" applyFill="1" applyBorder="1" applyAlignment="1" applyProtection="1">
      <alignment horizontal="right" vertical="center"/>
      <protection/>
    </xf>
    <xf numFmtId="177" fontId="11" fillId="0" borderId="10" xfId="0" applyNumberFormat="1" applyFont="1" applyFill="1" applyBorder="1" applyAlignment="1" applyProtection="1">
      <alignment horizontal="right" vertical="center"/>
      <protection/>
    </xf>
    <xf numFmtId="177" fontId="11" fillId="0" borderId="26" xfId="0" applyNumberFormat="1" applyFont="1" applyFill="1" applyBorder="1" applyAlignment="1" applyProtection="1">
      <alignment horizontal="right" vertical="center"/>
      <protection/>
    </xf>
    <xf numFmtId="177" fontId="11" fillId="0" borderId="34" xfId="0" applyNumberFormat="1" applyFont="1" applyFill="1" applyBorder="1" applyAlignment="1" applyProtection="1">
      <alignment horizontal="right" vertical="center"/>
      <protection/>
    </xf>
    <xf numFmtId="177" fontId="11" fillId="0" borderId="35" xfId="0" applyNumberFormat="1" applyFont="1" applyFill="1" applyBorder="1" applyAlignment="1" applyProtection="1">
      <alignment horizontal="right" vertical="center"/>
      <protection/>
    </xf>
    <xf numFmtId="177" fontId="11" fillId="0" borderId="52" xfId="0" applyNumberFormat="1" applyFont="1" applyFill="1" applyBorder="1" applyAlignment="1" applyProtection="1">
      <alignment horizontal="right" vertical="center"/>
      <protection/>
    </xf>
    <xf numFmtId="177" fontId="11" fillId="0" borderId="0" xfId="0" applyNumberFormat="1" applyFont="1" applyFill="1" applyBorder="1" applyAlignment="1" applyProtection="1">
      <alignment horizontal="right" vertical="center"/>
      <protection/>
    </xf>
    <xf numFmtId="177" fontId="11" fillId="34" borderId="10" xfId="0" applyNumberFormat="1" applyFont="1" applyFill="1" applyBorder="1" applyAlignment="1" applyProtection="1">
      <alignment horizontal="right" vertical="center"/>
      <protection/>
    </xf>
    <xf numFmtId="188" fontId="11" fillId="0" borderId="58" xfId="0" applyNumberFormat="1" applyFont="1" applyFill="1" applyBorder="1" applyAlignment="1" applyProtection="1">
      <alignment horizontal="right" vertical="center"/>
      <protection/>
    </xf>
    <xf numFmtId="188" fontId="11" fillId="0" borderId="66" xfId="0" applyNumberFormat="1" applyFont="1" applyFill="1" applyBorder="1" applyAlignment="1" applyProtection="1">
      <alignment horizontal="right" vertical="center"/>
      <protection/>
    </xf>
    <xf numFmtId="177" fontId="11" fillId="34" borderId="13" xfId="0" applyNumberFormat="1" applyFont="1" applyFill="1" applyBorder="1" applyAlignment="1" applyProtection="1">
      <alignment horizontal="right" vertical="center"/>
      <protection/>
    </xf>
    <xf numFmtId="177" fontId="11" fillId="34" borderId="35" xfId="0" applyNumberFormat="1" applyFont="1" applyFill="1" applyBorder="1" applyAlignment="1" applyProtection="1">
      <alignment horizontal="right" vertical="center"/>
      <protection/>
    </xf>
    <xf numFmtId="177" fontId="11" fillId="34" borderId="65" xfId="0" applyNumberFormat="1" applyFont="1" applyFill="1" applyBorder="1" applyAlignment="1" applyProtection="1">
      <alignment horizontal="right" vertical="center"/>
      <protection/>
    </xf>
    <xf numFmtId="0" fontId="11" fillId="0" borderId="35" xfId="0" applyFont="1" applyFill="1" applyBorder="1" applyAlignment="1" applyProtection="1">
      <alignment horizontal="center" vertical="center"/>
      <protection/>
    </xf>
    <xf numFmtId="0" fontId="11" fillId="0" borderId="65"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protection/>
    </xf>
    <xf numFmtId="188" fontId="11" fillId="0" borderId="62" xfId="0" applyNumberFormat="1" applyFont="1" applyFill="1" applyBorder="1" applyAlignment="1" applyProtection="1">
      <alignment horizontal="right" vertical="center"/>
      <protection/>
    </xf>
    <xf numFmtId="177" fontId="11" fillId="34" borderId="29" xfId="0" applyNumberFormat="1" applyFont="1" applyFill="1" applyBorder="1" applyAlignment="1" applyProtection="1">
      <alignment horizontal="right" vertical="center"/>
      <protection/>
    </xf>
    <xf numFmtId="177" fontId="11" fillId="34" borderId="30" xfId="0" applyNumberFormat="1" applyFont="1" applyFill="1" applyBorder="1" applyAlignment="1" applyProtection="1">
      <alignment horizontal="right" vertical="center"/>
      <protection/>
    </xf>
    <xf numFmtId="177" fontId="11" fillId="34" borderId="31" xfId="0" applyNumberFormat="1" applyFont="1" applyFill="1" applyBorder="1" applyAlignment="1" applyProtection="1">
      <alignment horizontal="right" vertical="center"/>
      <protection/>
    </xf>
    <xf numFmtId="177" fontId="11" fillId="34" borderId="12" xfId="0" applyNumberFormat="1" applyFont="1" applyFill="1" applyBorder="1" applyAlignment="1" applyProtection="1">
      <alignment horizontal="right" vertical="center"/>
      <protection/>
    </xf>
    <xf numFmtId="177" fontId="11" fillId="34" borderId="34" xfId="0" applyNumberFormat="1" applyFont="1" applyFill="1" applyBorder="1" applyAlignment="1" applyProtection="1">
      <alignment horizontal="right" vertical="center"/>
      <protection/>
    </xf>
    <xf numFmtId="0" fontId="4" fillId="0" borderId="67" xfId="0" applyFont="1" applyBorder="1" applyAlignment="1" applyProtection="1">
      <alignment vertical="center"/>
      <protection/>
    </xf>
    <xf numFmtId="0" fontId="4" fillId="0" borderId="53" xfId="0" applyFont="1" applyFill="1" applyBorder="1" applyAlignment="1" applyProtection="1">
      <alignment vertical="center"/>
      <protection/>
    </xf>
    <xf numFmtId="0" fontId="4" fillId="0" borderId="55" xfId="0" applyFont="1" applyFill="1" applyBorder="1" applyAlignment="1" applyProtection="1">
      <alignment vertical="center"/>
      <protection/>
    </xf>
    <xf numFmtId="0" fontId="4" fillId="0" borderId="45"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41" xfId="0" applyFont="1" applyBorder="1" applyAlignment="1" applyProtection="1">
      <alignment vertical="center"/>
      <protection/>
    </xf>
    <xf numFmtId="0" fontId="4" fillId="0" borderId="43"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11" fillId="33" borderId="68" xfId="0" applyFont="1" applyFill="1" applyBorder="1" applyAlignment="1" applyProtection="1">
      <alignment horizontal="left" vertical="center" wrapText="1"/>
      <protection locked="0"/>
    </xf>
    <xf numFmtId="0" fontId="11" fillId="33" borderId="69" xfId="0" applyFont="1" applyFill="1" applyBorder="1" applyAlignment="1" applyProtection="1">
      <alignment horizontal="right" vertical="center"/>
      <protection locked="0"/>
    </xf>
    <xf numFmtId="0" fontId="11" fillId="33" borderId="38" xfId="0" applyFont="1" applyFill="1" applyBorder="1" applyAlignment="1" applyProtection="1">
      <alignment horizontal="right" vertical="center"/>
      <protection locked="0"/>
    </xf>
    <xf numFmtId="3" fontId="11" fillId="33" borderId="68" xfId="0" applyNumberFormat="1" applyFont="1" applyFill="1" applyBorder="1" applyAlignment="1" applyProtection="1">
      <alignment horizontal="right" vertical="center"/>
      <protection locked="0"/>
    </xf>
    <xf numFmtId="3" fontId="11" fillId="34" borderId="70" xfId="0" applyNumberFormat="1" applyFont="1" applyFill="1" applyBorder="1" applyAlignment="1" applyProtection="1">
      <alignment horizontal="right" vertical="center"/>
      <protection/>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177" fontId="2" fillId="39" borderId="20" xfId="0" applyNumberFormat="1" applyFont="1" applyFill="1" applyBorder="1" applyAlignment="1" applyProtection="1">
      <alignment horizontal="center" vertical="center" wrapText="1"/>
      <protection/>
    </xf>
    <xf numFmtId="177" fontId="2" fillId="39" borderId="21" xfId="0" applyNumberFormat="1" applyFont="1" applyFill="1" applyBorder="1" applyAlignment="1" applyProtection="1">
      <alignment horizontal="center" vertical="center" wrapText="1"/>
      <protection/>
    </xf>
    <xf numFmtId="177" fontId="2" fillId="39" borderId="22" xfId="0" applyNumberFormat="1" applyFont="1" applyFill="1" applyBorder="1" applyAlignment="1" applyProtection="1">
      <alignment horizontal="center" vertical="center" wrapText="1"/>
      <protection/>
    </xf>
    <xf numFmtId="177" fontId="2" fillId="39" borderId="23" xfId="0" applyNumberFormat="1" applyFont="1" applyFill="1" applyBorder="1" applyAlignment="1" applyProtection="1">
      <alignment horizontal="center" vertical="center" wrapText="1"/>
      <protection/>
    </xf>
    <xf numFmtId="177" fontId="2" fillId="34" borderId="49" xfId="0" applyNumberFormat="1" applyFont="1" applyFill="1" applyBorder="1" applyAlignment="1" applyProtection="1">
      <alignment horizontal="right" vertical="center" wrapText="1"/>
      <protection/>
    </xf>
    <xf numFmtId="177" fontId="2" fillId="34" borderId="58" xfId="0" applyNumberFormat="1" applyFont="1" applyFill="1" applyBorder="1" applyAlignment="1" applyProtection="1">
      <alignment horizontal="right" vertical="center" wrapText="1"/>
      <protection/>
    </xf>
    <xf numFmtId="177" fontId="2" fillId="34" borderId="50" xfId="0" applyNumberFormat="1" applyFont="1" applyFill="1" applyBorder="1" applyAlignment="1" applyProtection="1">
      <alignment horizontal="right" vertical="center" wrapText="1"/>
      <protection/>
    </xf>
    <xf numFmtId="177" fontId="2" fillId="34" borderId="51" xfId="0" applyNumberFormat="1" applyFont="1" applyFill="1" applyBorder="1" applyAlignment="1" applyProtection="1">
      <alignment horizontal="right" vertical="center" wrapText="1"/>
      <protection/>
    </xf>
    <xf numFmtId="177" fontId="2" fillId="39" borderId="48" xfId="0" applyNumberFormat="1" applyFont="1" applyFill="1" applyBorder="1" applyAlignment="1" applyProtection="1">
      <alignment horizontal="right" vertical="center" wrapText="1"/>
      <protection/>
    </xf>
    <xf numFmtId="177" fontId="2" fillId="39" borderId="10" xfId="0" applyNumberFormat="1" applyFont="1" applyFill="1" applyBorder="1" applyAlignment="1" applyProtection="1">
      <alignment horizontal="right" vertical="center" wrapText="1"/>
      <protection/>
    </xf>
    <xf numFmtId="177" fontId="2" fillId="39" borderId="27" xfId="0" applyNumberFormat="1" applyFont="1" applyFill="1" applyBorder="1" applyAlignment="1" applyProtection="1">
      <alignment horizontal="right" vertical="center" wrapText="1"/>
      <protection/>
    </xf>
    <xf numFmtId="177" fontId="2" fillId="39" borderId="33" xfId="0" applyNumberFormat="1" applyFont="1" applyFill="1" applyBorder="1" applyAlignment="1" applyProtection="1">
      <alignment horizontal="right" vertical="center" wrapText="1"/>
      <protection/>
    </xf>
    <xf numFmtId="177" fontId="0" fillId="0" borderId="17" xfId="0" applyNumberFormat="1" applyFont="1" applyFill="1" applyBorder="1" applyAlignment="1" applyProtection="1">
      <alignment horizontal="right" vertical="center" wrapText="1"/>
      <protection/>
    </xf>
    <xf numFmtId="177" fontId="0" fillId="0" borderId="59" xfId="0" applyNumberFormat="1" applyFont="1" applyFill="1" applyBorder="1" applyAlignment="1" applyProtection="1">
      <alignment horizontal="right" vertical="center" wrapText="1"/>
      <protection/>
    </xf>
    <xf numFmtId="177" fontId="0" fillId="0" borderId="18" xfId="0" applyNumberFormat="1" applyFont="1" applyFill="1" applyBorder="1" applyAlignment="1" applyProtection="1">
      <alignment horizontal="right" vertical="center" wrapText="1"/>
      <protection/>
    </xf>
    <xf numFmtId="177" fontId="0" fillId="0" borderId="71" xfId="0" applyNumberFormat="1" applyFont="1" applyFill="1" applyBorder="1" applyAlignment="1" applyProtection="1">
      <alignment horizontal="right" vertical="center" wrapText="1"/>
      <protection/>
    </xf>
    <xf numFmtId="177" fontId="0" fillId="0" borderId="49" xfId="0" applyNumberFormat="1" applyFont="1" applyFill="1" applyBorder="1" applyAlignment="1" applyProtection="1">
      <alignment horizontal="right" vertical="center" wrapText="1"/>
      <protection/>
    </xf>
    <xf numFmtId="177" fontId="0" fillId="0" borderId="58" xfId="0" applyNumberFormat="1" applyFont="1" applyFill="1" applyBorder="1" applyAlignment="1" applyProtection="1">
      <alignment horizontal="right" vertical="center" wrapText="1"/>
      <protection/>
    </xf>
    <xf numFmtId="177" fontId="0" fillId="0" borderId="50" xfId="0" applyNumberFormat="1" applyFont="1" applyFill="1" applyBorder="1" applyAlignment="1" applyProtection="1">
      <alignment horizontal="right" vertical="center" wrapText="1"/>
      <protection/>
    </xf>
    <xf numFmtId="177" fontId="0" fillId="0" borderId="51" xfId="0" applyNumberFormat="1" applyFont="1" applyFill="1" applyBorder="1" applyAlignment="1" applyProtection="1">
      <alignment horizontal="right" vertical="center" wrapText="1"/>
      <protection/>
    </xf>
    <xf numFmtId="177" fontId="0" fillId="0" borderId="48" xfId="0" applyNumberFormat="1" applyFont="1" applyFill="1" applyBorder="1" applyAlignment="1" applyProtection="1">
      <alignment horizontal="right" vertical="center" wrapText="1"/>
      <protection/>
    </xf>
    <xf numFmtId="177" fontId="0" fillId="0" borderId="10" xfId="0" applyNumberFormat="1" applyFont="1" applyFill="1" applyBorder="1" applyAlignment="1" applyProtection="1">
      <alignment horizontal="right" vertical="center" wrapText="1"/>
      <protection/>
    </xf>
    <xf numFmtId="177" fontId="0" fillId="0" borderId="27" xfId="0" applyNumberFormat="1" applyFont="1" applyFill="1" applyBorder="1" applyAlignment="1" applyProtection="1">
      <alignment horizontal="right" vertical="center" wrapText="1"/>
      <protection/>
    </xf>
    <xf numFmtId="177" fontId="0" fillId="0" borderId="33" xfId="0" applyNumberFormat="1" applyFont="1" applyFill="1" applyBorder="1" applyAlignment="1" applyProtection="1">
      <alignment horizontal="right" vertical="center" wrapText="1"/>
      <protection/>
    </xf>
    <xf numFmtId="0" fontId="11" fillId="0" borderId="53" xfId="0" applyFont="1" applyBorder="1" applyAlignment="1" applyProtection="1">
      <alignment vertical="center"/>
      <protection/>
    </xf>
    <xf numFmtId="0" fontId="10" fillId="0" borderId="55" xfId="0" applyFont="1" applyFill="1" applyBorder="1" applyAlignment="1" applyProtection="1">
      <alignment horizontal="right" vertical="center"/>
      <protection/>
    </xf>
    <xf numFmtId="3" fontId="10" fillId="0" borderId="0" xfId="0" applyNumberFormat="1" applyFont="1" applyFill="1" applyBorder="1" applyAlignment="1" applyProtection="1" quotePrefix="1">
      <alignment vertical="center"/>
      <protection/>
    </xf>
    <xf numFmtId="3" fontId="28" fillId="0" borderId="16" xfId="0" applyNumberFormat="1" applyFont="1" applyFill="1" applyBorder="1" applyAlignment="1" applyProtection="1" quotePrefix="1">
      <alignment horizontal="center" vertical="center" wrapText="1"/>
      <protection/>
    </xf>
    <xf numFmtId="3" fontId="10" fillId="34" borderId="16" xfId="0" applyNumberFormat="1" applyFont="1" applyFill="1" applyBorder="1" applyAlignment="1" applyProtection="1">
      <alignment horizontal="right" vertical="center"/>
      <protection/>
    </xf>
    <xf numFmtId="0" fontId="10" fillId="36" borderId="15" xfId="0" applyFont="1" applyFill="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8" fillId="39" borderId="20" xfId="0" applyFont="1" applyFill="1" applyBorder="1" applyAlignment="1" applyProtection="1">
      <alignment horizontal="left" vertical="center" wrapText="1"/>
      <protection/>
    </xf>
    <xf numFmtId="0" fontId="0" fillId="33" borderId="40" xfId="0" applyFont="1" applyFill="1" applyBorder="1" applyAlignment="1" applyProtection="1">
      <alignment horizontal="left" vertical="center" wrapText="1"/>
      <protection/>
    </xf>
    <xf numFmtId="0" fontId="0" fillId="33" borderId="41" xfId="0" applyFont="1" applyFill="1" applyBorder="1" applyAlignment="1" applyProtection="1">
      <alignment horizontal="left" vertical="center" wrapText="1"/>
      <protection/>
    </xf>
    <xf numFmtId="0" fontId="0" fillId="33" borderId="68"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left" vertical="center" wrapText="1"/>
      <protection/>
    </xf>
    <xf numFmtId="0" fontId="2" fillId="0" borderId="47" xfId="0" applyFont="1" applyFill="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2" fillId="39" borderId="47" xfId="0" applyFont="1" applyFill="1" applyBorder="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2" fillId="33" borderId="41" xfId="0" applyFont="1" applyFill="1" applyBorder="1" applyAlignment="1" applyProtection="1">
      <alignment horizontal="left" vertical="center" wrapText="1"/>
      <protection/>
    </xf>
    <xf numFmtId="0" fontId="0" fillId="36" borderId="40" xfId="0" applyFont="1" applyFill="1" applyBorder="1" applyAlignment="1" applyProtection="1">
      <alignment horizontal="left" vertical="center" wrapText="1"/>
      <protection/>
    </xf>
    <xf numFmtId="0" fontId="0" fillId="0" borderId="72" xfId="0" applyFont="1" applyFill="1" applyBorder="1" applyAlignment="1" applyProtection="1" quotePrefix="1">
      <alignment horizontal="left" vertical="center" wrapText="1"/>
      <protection/>
    </xf>
    <xf numFmtId="0" fontId="2" fillId="39" borderId="73" xfId="0" applyFont="1" applyFill="1" applyBorder="1" applyAlignment="1" applyProtection="1">
      <alignment horizontal="left" vertical="center" wrapText="1"/>
      <protection/>
    </xf>
    <xf numFmtId="0" fontId="0" fillId="33" borderId="40" xfId="0" applyFont="1" applyFill="1" applyBorder="1" applyAlignment="1" applyProtection="1" quotePrefix="1">
      <alignment horizontal="left" vertical="center" wrapText="1"/>
      <protection/>
    </xf>
    <xf numFmtId="0" fontId="0" fillId="0" borderId="17" xfId="0" applyFont="1" applyFill="1" applyBorder="1" applyAlignment="1" applyProtection="1" quotePrefix="1">
      <alignment horizontal="left" vertical="center" wrapText="1"/>
      <protection/>
    </xf>
    <xf numFmtId="0" fontId="2" fillId="39" borderId="20" xfId="0" applyFont="1" applyFill="1" applyBorder="1" applyAlignment="1" applyProtection="1" quotePrefix="1">
      <alignment horizontal="left" vertical="center" wrapText="1"/>
      <protection/>
    </xf>
    <xf numFmtId="0" fontId="2"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48" xfId="0" applyFont="1" applyFill="1" applyBorder="1" applyAlignment="1" applyProtection="1">
      <alignment horizontal="left" vertical="center" wrapText="1"/>
      <protection/>
    </xf>
    <xf numFmtId="0" fontId="2" fillId="34" borderId="72" xfId="0" applyFont="1" applyFill="1" applyBorder="1" applyAlignment="1" applyProtection="1" quotePrefix="1">
      <alignment horizontal="left" vertical="center" wrapText="1"/>
      <protection/>
    </xf>
    <xf numFmtId="0" fontId="2" fillId="33" borderId="48" xfId="0" applyFont="1" applyFill="1" applyBorder="1" applyAlignment="1" applyProtection="1">
      <alignment horizontal="left" vertical="center" wrapText="1"/>
      <protection/>
    </xf>
    <xf numFmtId="0" fontId="2" fillId="39" borderId="72" xfId="0" applyFont="1" applyFill="1" applyBorder="1" applyAlignment="1" applyProtection="1" quotePrefix="1">
      <alignment horizontal="left" vertical="center" wrapText="1"/>
      <protection/>
    </xf>
    <xf numFmtId="0" fontId="0" fillId="0" borderId="16" xfId="0" applyFont="1" applyFill="1" applyBorder="1" applyAlignment="1" applyProtection="1">
      <alignment horizontal="left" vertical="center" wrapText="1"/>
      <protection/>
    </xf>
    <xf numFmtId="0" fontId="10" fillId="0" borderId="10" xfId="0" applyFont="1" applyBorder="1" applyAlignment="1" applyProtection="1">
      <alignment horizontal="left" vertical="center"/>
      <protection/>
    </xf>
    <xf numFmtId="0" fontId="8" fillId="36" borderId="20" xfId="0"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2" fillId="0" borderId="0" xfId="0" applyFont="1" applyFill="1" applyAlignment="1" applyProtection="1">
      <alignment horizontal="left" vertical="center"/>
      <protection/>
    </xf>
    <xf numFmtId="0" fontId="21"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8" fillId="42" borderId="16" xfId="0" applyFont="1" applyFill="1" applyBorder="1" applyAlignment="1" applyProtection="1">
      <alignment horizontal="left" vertical="center" wrapText="1"/>
      <protection/>
    </xf>
    <xf numFmtId="177" fontId="2" fillId="42" borderId="22" xfId="0" applyNumberFormat="1" applyFont="1" applyFill="1" applyBorder="1" applyAlignment="1" applyProtection="1">
      <alignment horizontal="center" vertical="center" wrapText="1"/>
      <protection/>
    </xf>
    <xf numFmtId="177" fontId="2" fillId="42" borderId="21" xfId="0" applyNumberFormat="1" applyFont="1" applyFill="1" applyBorder="1" applyAlignment="1" applyProtection="1">
      <alignment horizontal="center" vertical="center" wrapText="1"/>
      <protection/>
    </xf>
    <xf numFmtId="177" fontId="2" fillId="42" borderId="23" xfId="0" applyNumberFormat="1" applyFont="1" applyFill="1" applyBorder="1" applyAlignment="1" applyProtection="1">
      <alignment horizontal="center" vertical="center" wrapText="1"/>
      <protection/>
    </xf>
    <xf numFmtId="0" fontId="2" fillId="42" borderId="24" xfId="0" applyFont="1" applyFill="1" applyBorder="1" applyAlignment="1" applyProtection="1">
      <alignment horizontal="left" vertical="center" wrapText="1"/>
      <protection/>
    </xf>
    <xf numFmtId="177" fontId="2" fillId="42" borderId="43" xfId="0" applyNumberFormat="1" applyFont="1" applyFill="1" applyBorder="1" applyAlignment="1" applyProtection="1">
      <alignment horizontal="right" vertical="center" wrapText="1"/>
      <protection/>
    </xf>
    <xf numFmtId="177" fontId="2" fillId="42" borderId="42" xfId="0" applyNumberFormat="1" applyFont="1" applyFill="1" applyBorder="1" applyAlignment="1" applyProtection="1">
      <alignment horizontal="right" vertical="center" wrapText="1"/>
      <protection/>
    </xf>
    <xf numFmtId="177" fontId="2" fillId="42" borderId="44" xfId="0" applyNumberFormat="1" applyFont="1" applyFill="1" applyBorder="1" applyAlignment="1" applyProtection="1">
      <alignment horizontal="right" vertical="center" wrapText="1"/>
      <protection/>
    </xf>
    <xf numFmtId="0" fontId="0" fillId="42" borderId="72" xfId="0" applyFont="1" applyFill="1" applyBorder="1" applyAlignment="1" applyProtection="1" quotePrefix="1">
      <alignment horizontal="left" vertical="center" wrapText="1"/>
      <protection/>
    </xf>
    <xf numFmtId="177" fontId="0" fillId="42" borderId="49" xfId="0" applyNumberFormat="1" applyFont="1" applyFill="1" applyBorder="1" applyAlignment="1" applyProtection="1">
      <alignment horizontal="right" vertical="center" wrapText="1"/>
      <protection/>
    </xf>
    <xf numFmtId="177" fontId="0" fillId="42" borderId="58" xfId="0" applyNumberFormat="1" applyFont="1" applyFill="1" applyBorder="1" applyAlignment="1" applyProtection="1">
      <alignment horizontal="right" vertical="center" wrapText="1"/>
      <protection/>
    </xf>
    <xf numFmtId="177" fontId="0" fillId="42" borderId="50" xfId="0" applyNumberFormat="1" applyFont="1" applyFill="1" applyBorder="1" applyAlignment="1" applyProtection="1">
      <alignment horizontal="right" vertical="center" wrapText="1"/>
      <protection/>
    </xf>
    <xf numFmtId="177" fontId="0" fillId="42" borderId="51" xfId="0" applyNumberFormat="1" applyFont="1" applyFill="1" applyBorder="1" applyAlignment="1" applyProtection="1">
      <alignment horizontal="right" vertical="center" wrapText="1"/>
      <protection/>
    </xf>
    <xf numFmtId="0" fontId="0" fillId="42" borderId="74" xfId="0" applyFont="1" applyFill="1" applyBorder="1" applyAlignment="1" applyProtection="1">
      <alignment horizontal="left" vertical="center" wrapText="1"/>
      <protection/>
    </xf>
    <xf numFmtId="177" fontId="0" fillId="42" borderId="45" xfId="0" applyNumberFormat="1" applyFont="1" applyFill="1" applyBorder="1" applyAlignment="1" applyProtection="1">
      <alignment horizontal="right" vertical="center" wrapText="1"/>
      <protection/>
    </xf>
    <xf numFmtId="177" fontId="0" fillId="42" borderId="57" xfId="0" applyNumberFormat="1" applyFont="1" applyFill="1" applyBorder="1" applyAlignment="1" applyProtection="1">
      <alignment horizontal="right" vertical="center" wrapText="1"/>
      <protection/>
    </xf>
    <xf numFmtId="177" fontId="0" fillId="42" borderId="0" xfId="0" applyNumberFormat="1" applyFont="1" applyFill="1" applyBorder="1" applyAlignment="1" applyProtection="1">
      <alignment horizontal="right" vertical="center" wrapText="1"/>
      <protection/>
    </xf>
    <xf numFmtId="177" fontId="0" fillId="42" borderId="19" xfId="0" applyNumberFormat="1" applyFont="1" applyFill="1" applyBorder="1" applyAlignment="1" applyProtection="1">
      <alignment horizontal="right" vertical="center" wrapText="1"/>
      <protection/>
    </xf>
    <xf numFmtId="9" fontId="0" fillId="0" borderId="27" xfId="59" applyBorder="1" applyAlignment="1" applyProtection="1">
      <alignment vertical="center"/>
      <protection/>
    </xf>
    <xf numFmtId="9" fontId="0" fillId="0" borderId="28" xfId="59" applyBorder="1" applyAlignment="1" applyProtection="1">
      <alignment vertical="center"/>
      <protection/>
    </xf>
    <xf numFmtId="177" fontId="2" fillId="34" borderId="48" xfId="0" applyNumberFormat="1" applyFont="1" applyFill="1" applyBorder="1" applyAlignment="1" applyProtection="1">
      <alignment horizontal="right" vertical="center" wrapText="1"/>
      <protection/>
    </xf>
    <xf numFmtId="177" fontId="2" fillId="34" borderId="10" xfId="0" applyNumberFormat="1" applyFont="1" applyFill="1" applyBorder="1" applyAlignment="1" applyProtection="1">
      <alignment horizontal="right" vertical="center" wrapText="1"/>
      <protection/>
    </xf>
    <xf numFmtId="177" fontId="2" fillId="34" borderId="27" xfId="0" applyNumberFormat="1" applyFont="1" applyFill="1" applyBorder="1" applyAlignment="1" applyProtection="1">
      <alignment horizontal="right" vertical="center" wrapText="1"/>
      <protection/>
    </xf>
    <xf numFmtId="177" fontId="2" fillId="34" borderId="33" xfId="0" applyNumberFormat="1" applyFont="1" applyFill="1" applyBorder="1" applyAlignment="1" applyProtection="1">
      <alignment horizontal="right" vertical="center" wrapText="1"/>
      <protection/>
    </xf>
    <xf numFmtId="0" fontId="2" fillId="34" borderId="74" xfId="0" applyFont="1" applyFill="1" applyBorder="1" applyAlignment="1" applyProtection="1" quotePrefix="1">
      <alignment horizontal="left" vertical="center" wrapText="1"/>
      <protection/>
    </xf>
    <xf numFmtId="0" fontId="2" fillId="34" borderId="47" xfId="0" applyFont="1" applyFill="1" applyBorder="1" applyAlignment="1" applyProtection="1" quotePrefix="1">
      <alignment horizontal="left" vertical="center" wrapText="1"/>
      <protection/>
    </xf>
    <xf numFmtId="177" fontId="2" fillId="34" borderId="34" xfId="0" applyNumberFormat="1" applyFont="1" applyFill="1" applyBorder="1" applyAlignment="1" applyProtection="1">
      <alignment horizontal="right" vertical="center" wrapText="1"/>
      <protection/>
    </xf>
    <xf numFmtId="177" fontId="2" fillId="34" borderId="35" xfId="0" applyNumberFormat="1" applyFont="1" applyFill="1" applyBorder="1" applyAlignment="1" applyProtection="1">
      <alignment horizontal="right" vertical="center" wrapText="1"/>
      <protection/>
    </xf>
    <xf numFmtId="177" fontId="2" fillId="34" borderId="65" xfId="0" applyNumberFormat="1" applyFont="1" applyFill="1" applyBorder="1" applyAlignment="1" applyProtection="1">
      <alignment horizontal="right" vertical="center" wrapText="1"/>
      <protection/>
    </xf>
    <xf numFmtId="0" fontId="2" fillId="0" borderId="0" xfId="0" applyFont="1" applyAlignment="1" applyProtection="1" quotePrefix="1">
      <alignment horizontal="left"/>
      <protection/>
    </xf>
    <xf numFmtId="0" fontId="2" fillId="0" borderId="0" xfId="0" applyFont="1" applyBorder="1" applyAlignment="1" applyProtection="1">
      <alignment/>
      <protection/>
    </xf>
    <xf numFmtId="0" fontId="0" fillId="0" borderId="0" xfId="0" applyFill="1" applyBorder="1" applyAlignment="1" applyProtection="1" quotePrefix="1">
      <alignment horizontal="left"/>
      <protection/>
    </xf>
    <xf numFmtId="0" fontId="0" fillId="0" borderId="0" xfId="0" applyFill="1" applyBorder="1" applyAlignment="1" applyProtection="1">
      <alignment vertical="center" textRotation="255"/>
      <protection/>
    </xf>
    <xf numFmtId="0" fontId="0" fillId="0" borderId="0" xfId="0" applyFont="1" applyBorder="1" applyAlignment="1" applyProtection="1">
      <alignment horizontal="left" vertical="center" wrapText="1"/>
      <protection/>
    </xf>
    <xf numFmtId="177" fontId="0" fillId="0" borderId="0" xfId="0" applyNumberFormat="1" applyFont="1" applyBorder="1" applyAlignment="1" applyProtection="1">
      <alignment horizontal="righ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11" fillId="35" borderId="11" xfId="0" applyFont="1" applyFill="1" applyBorder="1" applyAlignment="1" applyProtection="1">
      <alignment horizontal="left" vertical="center" wrapText="1"/>
      <protection/>
    </xf>
    <xf numFmtId="177" fontId="11" fillId="35" borderId="27" xfId="0" applyNumberFormat="1" applyFont="1" applyFill="1" applyBorder="1" applyAlignment="1" applyProtection="1">
      <alignment horizontal="right" vertical="center" wrapText="1"/>
      <protection/>
    </xf>
    <xf numFmtId="177" fontId="11" fillId="35" borderId="10" xfId="0" applyNumberFormat="1" applyFont="1" applyFill="1" applyBorder="1" applyAlignment="1" applyProtection="1">
      <alignment horizontal="right" vertical="center" wrapText="1"/>
      <protection/>
    </xf>
    <xf numFmtId="177" fontId="11" fillId="35" borderId="33" xfId="0" applyNumberFormat="1" applyFont="1" applyFill="1" applyBorder="1" applyAlignment="1" applyProtection="1">
      <alignment horizontal="right" vertical="center" wrapText="1"/>
      <protection/>
    </xf>
    <xf numFmtId="6" fontId="11" fillId="35" borderId="27" xfId="0" applyNumberFormat="1" applyFont="1" applyFill="1" applyBorder="1" applyAlignment="1" applyProtection="1">
      <alignment horizontal="right" vertical="center" wrapText="1"/>
      <protection/>
    </xf>
    <xf numFmtId="6" fontId="11" fillId="35" borderId="10" xfId="0" applyNumberFormat="1" applyFont="1" applyFill="1" applyBorder="1" applyAlignment="1" applyProtection="1">
      <alignment horizontal="right" vertical="center" wrapText="1"/>
      <protection/>
    </xf>
    <xf numFmtId="6" fontId="11" fillId="35" borderId="33" xfId="0" applyNumberFormat="1" applyFont="1" applyFill="1" applyBorder="1" applyAlignment="1" applyProtection="1">
      <alignment horizontal="right" vertical="center" wrapText="1"/>
      <protection/>
    </xf>
    <xf numFmtId="0" fontId="10" fillId="39" borderId="47" xfId="0" applyFont="1" applyFill="1" applyBorder="1" applyAlignment="1" applyProtection="1">
      <alignment horizontal="left" vertical="center" wrapText="1"/>
      <protection/>
    </xf>
    <xf numFmtId="177" fontId="11" fillId="0" borderId="10" xfId="0" applyNumberFormat="1" applyFont="1" applyFill="1" applyBorder="1" applyAlignment="1" applyProtection="1">
      <alignment horizontal="center" vertical="center" wrapText="1"/>
      <protection/>
    </xf>
    <xf numFmtId="0" fontId="10" fillId="39" borderId="73" xfId="0" applyFont="1" applyFill="1" applyBorder="1" applyAlignment="1" applyProtection="1">
      <alignment horizontal="left" vertical="center" wrapText="1"/>
      <protection/>
    </xf>
    <xf numFmtId="177" fontId="10" fillId="39" borderId="20" xfId="0" applyNumberFormat="1" applyFont="1" applyFill="1" applyBorder="1" applyAlignment="1" applyProtection="1">
      <alignment horizontal="right" vertical="center" wrapText="1"/>
      <protection/>
    </xf>
    <xf numFmtId="177" fontId="10" fillId="39" borderId="21" xfId="0" applyNumberFormat="1" applyFont="1" applyFill="1" applyBorder="1" applyAlignment="1" applyProtection="1">
      <alignment horizontal="right" vertical="center" wrapText="1"/>
      <protection/>
    </xf>
    <xf numFmtId="177" fontId="10" fillId="39" borderId="22" xfId="0" applyNumberFormat="1" applyFont="1" applyFill="1" applyBorder="1" applyAlignment="1" applyProtection="1">
      <alignment horizontal="right" vertical="center" wrapText="1"/>
      <protection/>
    </xf>
    <xf numFmtId="177" fontId="10" fillId="39" borderId="23" xfId="0" applyNumberFormat="1" applyFont="1" applyFill="1" applyBorder="1" applyAlignment="1" applyProtection="1">
      <alignment horizontal="right" vertical="center" wrapText="1"/>
      <protection/>
    </xf>
    <xf numFmtId="0" fontId="11" fillId="0" borderId="17" xfId="0" applyFont="1" applyFill="1" applyBorder="1" applyAlignment="1" applyProtection="1" quotePrefix="1">
      <alignment horizontal="left" vertical="center" wrapText="1"/>
      <protection/>
    </xf>
    <xf numFmtId="177" fontId="11" fillId="0" borderId="17" xfId="0" applyNumberFormat="1" applyFont="1" applyFill="1" applyBorder="1" applyAlignment="1" applyProtection="1">
      <alignment horizontal="right" vertical="center" wrapText="1"/>
      <protection/>
    </xf>
    <xf numFmtId="177" fontId="11" fillId="0" borderId="59" xfId="0" applyNumberFormat="1" applyFont="1" applyFill="1" applyBorder="1" applyAlignment="1" applyProtection="1">
      <alignment horizontal="right" vertical="center" wrapText="1"/>
      <protection/>
    </xf>
    <xf numFmtId="177" fontId="11" fillId="0" borderId="18" xfId="0" applyNumberFormat="1" applyFont="1" applyFill="1" applyBorder="1" applyAlignment="1" applyProtection="1">
      <alignment horizontal="right" vertical="center" wrapText="1"/>
      <protection/>
    </xf>
    <xf numFmtId="177" fontId="11" fillId="0" borderId="71" xfId="0" applyNumberFormat="1" applyFont="1" applyFill="1" applyBorder="1" applyAlignment="1" applyProtection="1">
      <alignment horizontal="right" vertical="center" wrapText="1"/>
      <protection/>
    </xf>
    <xf numFmtId="177" fontId="11" fillId="0" borderId="49" xfId="0" applyNumberFormat="1" applyFont="1" applyFill="1" applyBorder="1" applyAlignment="1" applyProtection="1">
      <alignment horizontal="right" vertical="center" wrapText="1"/>
      <protection/>
    </xf>
    <xf numFmtId="177" fontId="11" fillId="0" borderId="58" xfId="0" applyNumberFormat="1" applyFont="1" applyFill="1" applyBorder="1" applyAlignment="1" applyProtection="1">
      <alignment horizontal="right" vertical="center" wrapText="1"/>
      <protection/>
    </xf>
    <xf numFmtId="177" fontId="11" fillId="0" borderId="50" xfId="0" applyNumberFormat="1" applyFont="1" applyFill="1" applyBorder="1" applyAlignment="1" applyProtection="1">
      <alignment horizontal="right" vertical="center" wrapText="1"/>
      <protection/>
    </xf>
    <xf numFmtId="177" fontId="11" fillId="0" borderId="51" xfId="0" applyNumberFormat="1" applyFont="1" applyFill="1" applyBorder="1" applyAlignment="1" applyProtection="1">
      <alignment horizontal="right" vertical="center" wrapText="1"/>
      <protection/>
    </xf>
    <xf numFmtId="0" fontId="11" fillId="0" borderId="72" xfId="0" applyFont="1" applyFill="1" applyBorder="1" applyAlignment="1" applyProtection="1" quotePrefix="1">
      <alignment horizontal="left" vertical="center" wrapText="1"/>
      <protection/>
    </xf>
    <xf numFmtId="0" fontId="11" fillId="0" borderId="48" xfId="0" applyFont="1" applyFill="1" applyBorder="1" applyAlignment="1" applyProtection="1">
      <alignment horizontal="left" vertical="center" wrapText="1"/>
      <protection/>
    </xf>
    <xf numFmtId="177" fontId="11" fillId="0" borderId="48" xfId="0" applyNumberFormat="1" applyFont="1" applyFill="1" applyBorder="1" applyAlignment="1" applyProtection="1">
      <alignment horizontal="right" vertical="center" wrapText="1"/>
      <protection/>
    </xf>
    <xf numFmtId="177" fontId="11" fillId="0" borderId="10" xfId="0" applyNumberFormat="1" applyFont="1" applyFill="1" applyBorder="1" applyAlignment="1" applyProtection="1">
      <alignment horizontal="right" vertical="center" wrapText="1"/>
      <protection/>
    </xf>
    <xf numFmtId="177" fontId="11" fillId="0" borderId="27" xfId="0" applyNumberFormat="1" applyFont="1" applyFill="1" applyBorder="1" applyAlignment="1" applyProtection="1">
      <alignment horizontal="right" vertical="center" wrapText="1"/>
      <protection/>
    </xf>
    <xf numFmtId="177" fontId="11" fillId="0" borderId="33" xfId="0" applyNumberFormat="1" applyFont="1" applyFill="1" applyBorder="1" applyAlignment="1" applyProtection="1">
      <alignment horizontal="right" vertical="center" wrapText="1"/>
      <protection/>
    </xf>
    <xf numFmtId="177" fontId="10" fillId="0" borderId="45" xfId="0" applyNumberFormat="1" applyFont="1" applyFill="1" applyBorder="1" applyAlignment="1" applyProtection="1">
      <alignment horizontal="right" vertical="center" wrapText="1"/>
      <protection/>
    </xf>
    <xf numFmtId="177" fontId="10" fillId="0" borderId="0" xfId="0" applyNumberFormat="1" applyFont="1" applyFill="1" applyBorder="1" applyAlignment="1" applyProtection="1">
      <alignment horizontal="right" vertical="center" wrapText="1"/>
      <protection/>
    </xf>
    <xf numFmtId="177" fontId="10" fillId="0" borderId="19" xfId="0" applyNumberFormat="1" applyFont="1" applyFill="1" applyBorder="1" applyAlignment="1" applyProtection="1">
      <alignment horizontal="right" vertical="center" wrapText="1"/>
      <protection/>
    </xf>
    <xf numFmtId="177" fontId="11" fillId="35" borderId="48" xfId="0" applyNumberFormat="1" applyFont="1" applyFill="1" applyBorder="1" applyAlignment="1" applyProtection="1">
      <alignment horizontal="right" vertical="center" wrapText="1"/>
      <protection/>
    </xf>
    <xf numFmtId="177" fontId="11" fillId="35" borderId="13" xfId="0" applyNumberFormat="1" applyFont="1" applyFill="1" applyBorder="1" applyAlignment="1" applyProtection="1">
      <alignment horizontal="right" vertical="center" wrapText="1"/>
      <protection/>
    </xf>
    <xf numFmtId="6" fontId="11" fillId="35" borderId="48" xfId="0" applyNumberFormat="1" applyFont="1" applyFill="1" applyBorder="1" applyAlignment="1" applyProtection="1">
      <alignment horizontal="right" vertical="center" wrapText="1"/>
      <protection/>
    </xf>
    <xf numFmtId="6" fontId="11" fillId="35" borderId="13" xfId="0" applyNumberFormat="1" applyFont="1" applyFill="1" applyBorder="1" applyAlignment="1" applyProtection="1">
      <alignment horizontal="right" vertical="center" wrapText="1"/>
      <protection/>
    </xf>
    <xf numFmtId="177" fontId="10" fillId="39" borderId="75" xfId="0" applyNumberFormat="1" applyFont="1" applyFill="1" applyBorder="1" applyAlignment="1" applyProtection="1">
      <alignment horizontal="right" vertical="center" wrapText="1"/>
      <protection/>
    </xf>
    <xf numFmtId="177" fontId="11" fillId="0" borderId="76" xfId="0" applyNumberFormat="1" applyFont="1" applyFill="1" applyBorder="1" applyAlignment="1" applyProtection="1">
      <alignment horizontal="right" vertical="center" wrapText="1"/>
      <protection/>
    </xf>
    <xf numFmtId="177" fontId="11" fillId="0" borderId="63" xfId="0" applyNumberFormat="1" applyFont="1" applyFill="1" applyBorder="1" applyAlignment="1" applyProtection="1">
      <alignment horizontal="right" vertical="center" wrapText="1"/>
      <protection/>
    </xf>
    <xf numFmtId="177" fontId="11" fillId="0" borderId="13" xfId="0" applyNumberFormat="1" applyFont="1" applyFill="1" applyBorder="1" applyAlignment="1" applyProtection="1">
      <alignment horizontal="right" vertical="center" wrapText="1"/>
      <protection/>
    </xf>
    <xf numFmtId="0" fontId="11" fillId="35" borderId="68" xfId="0" applyFont="1" applyFill="1" applyBorder="1" applyAlignment="1" applyProtection="1">
      <alignment horizontal="left" vertical="center" wrapText="1"/>
      <protection/>
    </xf>
    <xf numFmtId="0" fontId="11" fillId="35" borderId="40" xfId="0" applyFont="1" applyFill="1" applyBorder="1" applyAlignment="1" applyProtection="1">
      <alignment horizontal="left" vertical="center" wrapText="1"/>
      <protection/>
    </xf>
    <xf numFmtId="0" fontId="11" fillId="35" borderId="41" xfId="0" applyFont="1" applyFill="1" applyBorder="1" applyAlignment="1" applyProtection="1">
      <alignment horizontal="left" vertical="center" wrapText="1"/>
      <protection/>
    </xf>
    <xf numFmtId="0" fontId="10" fillId="35" borderId="41" xfId="0" applyFont="1" applyFill="1" applyBorder="1" applyAlignment="1" applyProtection="1">
      <alignment horizontal="left" vertical="center" wrapText="1"/>
      <protection/>
    </xf>
    <xf numFmtId="0" fontId="11" fillId="35" borderId="40" xfId="0" applyFont="1" applyFill="1" applyBorder="1" applyAlignment="1" applyProtection="1" quotePrefix="1">
      <alignment horizontal="left" vertical="center" wrapText="1"/>
      <protection/>
    </xf>
    <xf numFmtId="0" fontId="10" fillId="35" borderId="48" xfId="0" applyFont="1" applyFill="1" applyBorder="1" applyAlignment="1" applyProtection="1">
      <alignment horizontal="left" vertical="center" wrapText="1"/>
      <protection/>
    </xf>
    <xf numFmtId="0" fontId="11" fillId="0" borderId="40" xfId="0" applyFont="1" applyFill="1" applyBorder="1" applyAlignment="1" applyProtection="1">
      <alignment horizontal="left" vertical="center" wrapText="1"/>
      <protection/>
    </xf>
    <xf numFmtId="0" fontId="11" fillId="0" borderId="41" xfId="0" applyFont="1" applyFill="1" applyBorder="1" applyAlignment="1" applyProtection="1">
      <alignment horizontal="left" vertical="center" wrapText="1"/>
      <protection/>
    </xf>
    <xf numFmtId="0" fontId="11" fillId="0" borderId="68" xfId="0" applyFont="1" applyFill="1" applyBorder="1" applyAlignment="1" applyProtection="1">
      <alignment horizontal="left" vertical="center" wrapText="1"/>
      <protection/>
    </xf>
    <xf numFmtId="0" fontId="10" fillId="0" borderId="41" xfId="0" applyFont="1" applyFill="1" applyBorder="1" applyAlignment="1" applyProtection="1">
      <alignment horizontal="left" vertical="center" wrapText="1"/>
      <protection/>
    </xf>
    <xf numFmtId="0" fontId="11" fillId="0" borderId="40" xfId="0" applyFont="1" applyFill="1" applyBorder="1" applyAlignment="1" applyProtection="1" quotePrefix="1">
      <alignment horizontal="left" vertical="center" wrapText="1"/>
      <protection/>
    </xf>
    <xf numFmtId="177" fontId="10" fillId="39" borderId="35" xfId="0" applyNumberFormat="1" applyFont="1" applyFill="1" applyBorder="1" applyAlignment="1" applyProtection="1">
      <alignment horizontal="right" vertical="center" wrapText="1"/>
      <protection/>
    </xf>
    <xf numFmtId="177" fontId="10" fillId="39" borderId="39" xfId="0" applyNumberFormat="1" applyFont="1" applyFill="1" applyBorder="1" applyAlignment="1" applyProtection="1">
      <alignment horizontal="right" vertical="center" wrapText="1"/>
      <protection/>
    </xf>
    <xf numFmtId="177" fontId="10" fillId="39" borderId="36" xfId="0" applyNumberFormat="1" applyFont="1" applyFill="1" applyBorder="1" applyAlignment="1" applyProtection="1">
      <alignment horizontal="right" vertical="center" wrapText="1"/>
      <protection/>
    </xf>
    <xf numFmtId="0" fontId="73" fillId="0" borderId="11" xfId="0" applyFont="1" applyFill="1" applyBorder="1" applyAlignment="1" applyProtection="1">
      <alignment horizontal="left" vertical="center" wrapText="1"/>
      <protection/>
    </xf>
    <xf numFmtId="0" fontId="73" fillId="0" borderId="28" xfId="0" applyFont="1" applyFill="1" applyBorder="1" applyAlignment="1" applyProtection="1">
      <alignment horizontal="right" vertical="center"/>
      <protection/>
    </xf>
    <xf numFmtId="0" fontId="73" fillId="0" borderId="27" xfId="0" applyFont="1" applyFill="1" applyBorder="1" applyAlignment="1" applyProtection="1">
      <alignment horizontal="right" vertical="center"/>
      <protection/>
    </xf>
    <xf numFmtId="3" fontId="73" fillId="0" borderId="11" xfId="0" applyNumberFormat="1" applyFont="1" applyFill="1" applyBorder="1" applyAlignment="1" applyProtection="1">
      <alignment horizontal="right" vertical="center"/>
      <protection/>
    </xf>
    <xf numFmtId="0" fontId="73" fillId="35" borderId="11" xfId="0" applyFont="1" applyFill="1" applyBorder="1" applyAlignment="1" applyProtection="1">
      <alignment horizontal="left" vertical="center" wrapText="1"/>
      <protection/>
    </xf>
    <xf numFmtId="177" fontId="73" fillId="35" borderId="48" xfId="0" applyNumberFormat="1" applyFont="1" applyFill="1" applyBorder="1" applyAlignment="1" applyProtection="1">
      <alignment horizontal="right" vertical="center" wrapText="1"/>
      <protection/>
    </xf>
    <xf numFmtId="0" fontId="22" fillId="0" borderId="0" xfId="0" applyFont="1" applyFill="1" applyBorder="1" applyAlignment="1" applyProtection="1">
      <alignment vertical="center" wrapText="1"/>
      <protection/>
    </xf>
    <xf numFmtId="0" fontId="22" fillId="0" borderId="0" xfId="0" applyFont="1" applyFill="1" applyBorder="1" applyAlignment="1" applyProtection="1">
      <alignment wrapText="1"/>
      <protection/>
    </xf>
    <xf numFmtId="0" fontId="10" fillId="0" borderId="0" xfId="0" applyFont="1" applyFill="1" applyBorder="1" applyAlignment="1" applyProtection="1">
      <alignment horizontal="center" vertical="center" wrapText="1"/>
      <protection/>
    </xf>
    <xf numFmtId="0" fontId="2" fillId="39" borderId="25" xfId="0" applyFont="1" applyFill="1" applyBorder="1" applyAlignment="1" applyProtection="1" quotePrefix="1">
      <alignment horizontal="center" vertical="center" textRotation="255"/>
      <protection/>
    </xf>
    <xf numFmtId="0" fontId="9" fillId="39" borderId="15" xfId="0" applyFont="1" applyFill="1" applyBorder="1" applyAlignment="1" applyProtection="1">
      <alignment vertical="center" textRotation="255"/>
      <protection/>
    </xf>
    <xf numFmtId="0" fontId="9" fillId="39" borderId="24" xfId="0" applyFont="1" applyFill="1" applyBorder="1" applyAlignment="1" applyProtection="1">
      <alignment vertical="center" textRotation="255"/>
      <protection/>
    </xf>
    <xf numFmtId="0" fontId="2" fillId="42" borderId="25" xfId="0" applyFont="1" applyFill="1" applyBorder="1" applyAlignment="1" applyProtection="1">
      <alignment vertical="center" textRotation="255"/>
      <protection/>
    </xf>
    <xf numFmtId="0" fontId="9" fillId="42" borderId="15" xfId="0" applyFont="1" applyFill="1" applyBorder="1" applyAlignment="1" applyProtection="1">
      <alignment vertical="center" textRotation="255"/>
      <protection/>
    </xf>
    <xf numFmtId="0" fontId="9" fillId="42" borderId="24" xfId="0" applyFont="1" applyFill="1" applyBorder="1" applyAlignment="1" applyProtection="1">
      <alignment vertical="center" textRotation="255"/>
      <protection/>
    </xf>
    <xf numFmtId="0" fontId="2" fillId="36" borderId="25" xfId="0" applyFont="1" applyFill="1" applyBorder="1" applyAlignment="1" applyProtection="1">
      <alignment vertical="center" textRotation="255"/>
      <protection/>
    </xf>
    <xf numFmtId="0" fontId="2" fillId="36" borderId="24" xfId="0" applyFont="1" applyFill="1" applyBorder="1" applyAlignment="1" applyProtection="1">
      <alignment vertical="center" textRotation="255"/>
      <protection/>
    </xf>
    <xf numFmtId="0" fontId="10" fillId="39" borderId="25" xfId="0" applyFont="1" applyFill="1" applyBorder="1" applyAlignment="1" applyProtection="1">
      <alignment horizontal="center" vertical="center" textRotation="255"/>
      <protection/>
    </xf>
    <xf numFmtId="0" fontId="10" fillId="39" borderId="15" xfId="0" applyFont="1" applyFill="1" applyBorder="1" applyAlignment="1" applyProtection="1">
      <alignment horizontal="center" vertical="center" textRotation="255"/>
      <protection/>
    </xf>
    <xf numFmtId="0" fontId="10" fillId="39" borderId="24" xfId="0" applyFont="1" applyFill="1" applyBorder="1" applyAlignment="1" applyProtection="1">
      <alignment horizontal="center" vertical="center" textRotation="255"/>
      <protection/>
    </xf>
    <xf numFmtId="0" fontId="2" fillId="0" borderId="10" xfId="0" applyFont="1" applyFill="1" applyBorder="1" applyAlignment="1" applyProtection="1">
      <alignment horizontal="left" vertical="center"/>
      <protection/>
    </xf>
    <xf numFmtId="0" fontId="10" fillId="0" borderId="0" xfId="0" applyFont="1" applyFill="1" applyBorder="1" applyAlignment="1" applyProtection="1" quotePrefix="1">
      <alignment horizontal="right" vertical="center"/>
      <protection/>
    </xf>
    <xf numFmtId="0" fontId="10" fillId="0" borderId="0" xfId="0" applyFont="1" applyFill="1" applyBorder="1" applyAlignment="1" applyProtection="1">
      <alignment horizontal="right" vertical="center"/>
      <protection/>
    </xf>
    <xf numFmtId="0" fontId="2" fillId="39" borderId="26" xfId="0" applyFont="1" applyFill="1" applyBorder="1" applyAlignment="1" applyProtection="1">
      <alignment horizontal="center" vertical="center"/>
      <protection/>
    </xf>
    <xf numFmtId="0" fontId="2" fillId="39" borderId="28" xfId="0" applyFont="1" applyFill="1" applyBorder="1" applyAlignment="1" applyProtection="1">
      <alignment horizontal="center"/>
      <protection/>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10" fontId="74" fillId="0" borderId="26" xfId="0" applyNumberFormat="1" applyFont="1" applyFill="1" applyBorder="1" applyAlignment="1" applyProtection="1">
      <alignment horizontal="center" vertical="center"/>
      <protection/>
    </xf>
    <xf numFmtId="10" fontId="74" fillId="0" borderId="28" xfId="0" applyNumberFormat="1" applyFont="1" applyFill="1" applyBorder="1" applyAlignment="1" applyProtection="1">
      <alignment horizontal="center" vertical="center"/>
      <protection/>
    </xf>
    <xf numFmtId="0" fontId="10" fillId="36" borderId="25"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10" fillId="0" borderId="25" xfId="0" applyFont="1" applyFill="1" applyBorder="1" applyAlignment="1" applyProtection="1" quotePrefix="1">
      <alignment horizontal="center" vertical="center" wrapText="1"/>
      <protection/>
    </xf>
    <xf numFmtId="0" fontId="10" fillId="0" borderId="24" xfId="0" applyFont="1" applyFill="1" applyBorder="1" applyAlignment="1" applyProtection="1" quotePrefix="1">
      <alignment horizontal="center" vertical="center" wrapText="1"/>
      <protection/>
    </xf>
    <xf numFmtId="3" fontId="10" fillId="0" borderId="53" xfId="0" applyNumberFormat="1" applyFont="1" applyFill="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10" fillId="0" borderId="10" xfId="0" applyFont="1" applyFill="1" applyBorder="1" applyAlignment="1" applyProtection="1">
      <alignment horizontal="right" vertical="center"/>
      <protection/>
    </xf>
    <xf numFmtId="0" fontId="0" fillId="0" borderId="10" xfId="0" applyFill="1" applyBorder="1" applyAlignment="1" applyProtection="1">
      <alignment horizontal="right" vertical="center"/>
      <protection/>
    </xf>
    <xf numFmtId="0" fontId="0" fillId="0" borderId="26" xfId="0" applyFill="1" applyBorder="1" applyAlignment="1" applyProtection="1">
      <alignment horizontal="right" vertical="center"/>
      <protection/>
    </xf>
    <xf numFmtId="0" fontId="10" fillId="0" borderId="10" xfId="0" applyFont="1" applyFill="1" applyBorder="1" applyAlignment="1" applyProtection="1" quotePrefix="1">
      <alignment horizontal="right"/>
      <protection/>
    </xf>
    <xf numFmtId="0" fontId="0" fillId="0" borderId="10" xfId="0" applyFill="1" applyBorder="1" applyAlignment="1" applyProtection="1">
      <alignment horizontal="right"/>
      <protection/>
    </xf>
    <xf numFmtId="0" fontId="0" fillId="0" borderId="26" xfId="0" applyFill="1" applyBorder="1" applyAlignment="1" applyProtection="1">
      <alignment horizontal="right"/>
      <protection/>
    </xf>
    <xf numFmtId="0" fontId="10" fillId="0" borderId="10" xfId="0" applyFont="1" applyFill="1" applyBorder="1" applyAlignment="1" applyProtection="1" quotePrefix="1">
      <alignment horizontal="right" vertical="center"/>
      <protection/>
    </xf>
    <xf numFmtId="0" fontId="26" fillId="0" borderId="10" xfId="0" applyFont="1" applyFill="1" applyBorder="1" applyAlignment="1" applyProtection="1">
      <alignment horizontal="right" vertical="center"/>
      <protection/>
    </xf>
    <xf numFmtId="0" fontId="26" fillId="0" borderId="26" xfId="0" applyFont="1" applyFill="1" applyBorder="1" applyAlignment="1" applyProtection="1">
      <alignment horizontal="right" vertical="center"/>
      <protection/>
    </xf>
    <xf numFmtId="0" fontId="10" fillId="0" borderId="40"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protection locked="0"/>
    </xf>
    <xf numFmtId="0" fontId="24" fillId="0" borderId="0" xfId="0" applyFont="1" applyFill="1" applyBorder="1" applyAlignment="1" applyProtection="1">
      <alignment horizontal="center" vertical="center"/>
      <protection/>
    </xf>
    <xf numFmtId="0" fontId="9" fillId="33" borderId="26" xfId="0"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locked="0"/>
    </xf>
    <xf numFmtId="0" fontId="9" fillId="33" borderId="28" xfId="0" applyFont="1" applyFill="1" applyBorder="1" applyAlignment="1" applyProtection="1">
      <alignment horizontal="center" vertical="center"/>
      <protection locked="0"/>
    </xf>
    <xf numFmtId="0" fontId="0" fillId="0" borderId="15" xfId="0" applyBorder="1" applyAlignment="1">
      <alignment/>
    </xf>
    <xf numFmtId="0" fontId="0" fillId="0" borderId="24" xfId="0" applyBorder="1" applyAlignment="1">
      <alignment/>
    </xf>
    <xf numFmtId="0" fontId="14" fillId="0" borderId="0" xfId="0" applyFont="1" applyAlignment="1" applyProtection="1">
      <alignment horizontal="left" vertical="center" wrapText="1"/>
      <protection/>
    </xf>
    <xf numFmtId="0" fontId="0" fillId="0" borderId="0" xfId="0" applyAlignment="1" applyProtection="1">
      <alignment horizontal="left" wrapText="1"/>
      <protection/>
    </xf>
    <xf numFmtId="0" fontId="2" fillId="0" borderId="15" xfId="0" applyFont="1" applyBorder="1" applyAlignment="1" applyProtection="1">
      <alignment horizontal="center" vertical="center"/>
      <protection/>
    </xf>
    <xf numFmtId="0" fontId="11" fillId="0" borderId="77"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78" xfId="0" applyFont="1" applyBorder="1" applyAlignment="1" applyProtection="1">
      <alignment vertical="top" wrapText="1"/>
      <protection/>
    </xf>
    <xf numFmtId="0" fontId="0" fillId="0" borderId="77" xfId="0" applyFont="1" applyBorder="1" applyAlignment="1" applyProtection="1">
      <alignment vertical="top" wrapText="1"/>
      <protection/>
    </xf>
    <xf numFmtId="0" fontId="0" fillId="0" borderId="0" xfId="0" applyFont="1" applyAlignment="1" applyProtection="1">
      <alignment vertical="top" wrapText="1"/>
      <protection/>
    </xf>
    <xf numFmtId="0" fontId="10" fillId="0" borderId="4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1" fillId="0" borderId="45" xfId="0" applyFont="1" applyFill="1" applyBorder="1" applyAlignment="1" applyProtection="1">
      <alignment horizontal="center" vertical="center"/>
      <protection/>
    </xf>
    <xf numFmtId="0" fontId="10" fillId="0" borderId="67"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5" xfId="0" applyBorder="1" applyAlignment="1" applyProtection="1">
      <alignment horizontal="center" vertical="center"/>
      <protection/>
    </xf>
    <xf numFmtId="3" fontId="10" fillId="0" borderId="67" xfId="0" applyNumberFormat="1" applyFont="1" applyFill="1" applyBorder="1" applyAlignment="1" applyProtection="1">
      <alignment horizontal="center" vertical="center"/>
      <protection/>
    </xf>
    <xf numFmtId="0" fontId="0" fillId="0" borderId="77" xfId="0" applyBorder="1" applyAlignment="1" applyProtection="1">
      <alignment vertical="top" wrapText="1"/>
      <protection/>
    </xf>
    <xf numFmtId="0" fontId="0" fillId="0" borderId="0" xfId="0" applyAlignment="1" applyProtection="1">
      <alignment vertical="top" wrapText="1"/>
      <protection/>
    </xf>
    <xf numFmtId="0" fontId="0" fillId="0" borderId="78" xfId="0" applyBorder="1" applyAlignment="1" applyProtection="1">
      <alignment vertical="top" wrapText="1"/>
      <protection/>
    </xf>
    <xf numFmtId="0" fontId="18" fillId="0" borderId="77" xfId="0" applyFont="1" applyBorder="1" applyAlignment="1" applyProtection="1">
      <alignment vertical="top" wrapText="1"/>
      <protection/>
    </xf>
    <xf numFmtId="0" fontId="19" fillId="0" borderId="0" xfId="0" applyFont="1" applyBorder="1" applyAlignment="1" applyProtection="1">
      <alignment vertical="top" wrapText="1"/>
      <protection/>
    </xf>
    <xf numFmtId="0" fontId="19" fillId="0" borderId="78" xfId="0" applyFont="1" applyBorder="1" applyAlignment="1" applyProtection="1">
      <alignment vertical="top" wrapText="1"/>
      <protection/>
    </xf>
    <xf numFmtId="0" fontId="10" fillId="0" borderId="79" xfId="0" applyFont="1" applyBorder="1" applyAlignment="1" applyProtection="1">
      <alignment vertical="top" wrapText="1"/>
      <protection/>
    </xf>
    <xf numFmtId="0" fontId="0" fillId="0" borderId="80" xfId="0" applyBorder="1" applyAlignment="1" applyProtection="1">
      <alignment vertical="top" wrapText="1"/>
      <protection/>
    </xf>
    <xf numFmtId="0" fontId="0" fillId="0" borderId="81" xfId="0" applyBorder="1" applyAlignment="1" applyProtection="1">
      <alignment vertical="top" wrapText="1"/>
      <protection/>
    </xf>
    <xf numFmtId="177" fontId="2" fillId="41" borderId="59" xfId="0" applyNumberFormat="1"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82" xfId="0" applyFill="1" applyBorder="1" applyAlignment="1" applyProtection="1">
      <alignment vertical="top" wrapText="1"/>
      <protection/>
    </xf>
    <xf numFmtId="0" fontId="0" fillId="0" borderId="83" xfId="0" applyBorder="1" applyAlignment="1" applyProtection="1">
      <alignment vertical="top" wrapText="1"/>
      <protection/>
    </xf>
    <xf numFmtId="0" fontId="0" fillId="0" borderId="84" xfId="0" applyBorder="1" applyAlignment="1" applyProtection="1">
      <alignment vertical="top" wrapText="1"/>
      <protection/>
    </xf>
    <xf numFmtId="0" fontId="16" fillId="0" borderId="77" xfId="0" applyFont="1" applyBorder="1" applyAlignment="1" applyProtection="1">
      <alignment vertical="top" wrapText="1"/>
      <protection/>
    </xf>
    <xf numFmtId="0" fontId="0" fillId="0" borderId="0" xfId="0" applyBorder="1" applyAlignment="1" applyProtection="1">
      <alignment vertical="top" wrapText="1"/>
      <protection/>
    </xf>
    <xf numFmtId="0" fontId="0" fillId="35" borderId="45" xfId="0" applyFont="1" applyFill="1" applyBorder="1" applyAlignment="1" applyProtection="1">
      <alignment horizontal="justify" vertical="center" wrapText="1"/>
      <protection/>
    </xf>
    <xf numFmtId="0" fontId="0" fillId="35" borderId="19" xfId="0" applyFont="1" applyFill="1" applyBorder="1" applyAlignment="1" applyProtection="1">
      <alignment horizontal="justify" vertical="center" wrapText="1"/>
      <protection/>
    </xf>
    <xf numFmtId="0" fontId="0" fillId="33" borderId="45" xfId="0" applyFont="1" applyFill="1" applyBorder="1" applyAlignment="1" applyProtection="1">
      <alignment horizontal="justify" vertical="center" wrapText="1"/>
      <protection/>
    </xf>
    <xf numFmtId="0" fontId="0" fillId="33" borderId="19" xfId="0" applyFont="1" applyFill="1" applyBorder="1" applyAlignment="1" applyProtection="1">
      <alignment horizontal="justify" vertical="center" wrapText="1"/>
      <protection/>
    </xf>
    <xf numFmtId="0" fontId="2" fillId="39" borderId="45" xfId="0" applyFont="1" applyFill="1" applyBorder="1" applyAlignment="1" applyProtection="1">
      <alignment horizontal="justify" vertical="center" wrapText="1"/>
      <protection/>
    </xf>
    <xf numFmtId="0" fontId="2" fillId="39" borderId="19" xfId="0" applyFont="1" applyFill="1" applyBorder="1" applyAlignment="1" applyProtection="1">
      <alignment horizontal="justify" vertical="center" wrapText="1"/>
      <protection/>
    </xf>
    <xf numFmtId="177" fontId="3" fillId="36" borderId="59" xfId="0" applyNumberFormat="1" applyFont="1" applyFill="1" applyBorder="1" applyAlignment="1" applyProtection="1">
      <alignment horizontal="center" vertical="center" wrapText="1"/>
      <protection/>
    </xf>
    <xf numFmtId="0" fontId="11" fillId="38" borderId="26" xfId="0" applyFont="1" applyFill="1" applyBorder="1" applyAlignment="1" applyProtection="1">
      <alignment horizontal="left" vertical="center" wrapText="1"/>
      <protection/>
    </xf>
    <xf numFmtId="0" fontId="11" fillId="0" borderId="28" xfId="0" applyFont="1" applyBorder="1" applyAlignment="1">
      <alignment vertical="center" wrapText="1"/>
    </xf>
    <xf numFmtId="0" fontId="11" fillId="0" borderId="85" xfId="0" applyFont="1" applyBorder="1" applyAlignment="1" applyProtection="1">
      <alignment vertical="center" wrapText="1"/>
      <protection/>
    </xf>
    <xf numFmtId="0" fontId="0" fillId="0" borderId="0" xfId="0" applyBorder="1" applyAlignment="1" applyProtection="1">
      <alignment wrapText="1"/>
      <protection/>
    </xf>
    <xf numFmtId="0" fontId="10" fillId="36" borderId="25" xfId="0" applyFont="1" applyFill="1" applyBorder="1" applyAlignment="1" applyProtection="1" quotePrefix="1">
      <alignment horizontal="center" vertical="center"/>
      <protection/>
    </xf>
    <xf numFmtId="0" fontId="0" fillId="0" borderId="15" xfId="0" applyBorder="1" applyAlignment="1" applyProtection="1">
      <alignment horizontal="center" vertical="center"/>
      <protection/>
    </xf>
    <xf numFmtId="0" fontId="10" fillId="0" borderId="25" xfId="0" applyFont="1"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11" fillId="0" borderId="62" xfId="0" applyFont="1" applyBorder="1" applyAlignment="1" applyProtection="1">
      <alignment vertical="center" wrapText="1"/>
      <protection/>
    </xf>
    <xf numFmtId="0" fontId="0" fillId="0" borderId="50" xfId="0" applyBorder="1" applyAlignment="1" applyProtection="1">
      <alignment wrapText="1"/>
      <protection/>
    </xf>
    <xf numFmtId="0" fontId="2" fillId="39" borderId="41" xfId="0" applyFont="1" applyFill="1" applyBorder="1" applyAlignment="1" applyProtection="1">
      <alignment horizontal="justify" vertical="center" wrapText="1"/>
      <protection/>
    </xf>
    <xf numFmtId="0" fontId="2" fillId="39" borderId="44" xfId="0" applyFont="1" applyFill="1" applyBorder="1" applyAlignment="1" applyProtection="1">
      <alignment horizontal="justify" vertical="center" wrapText="1"/>
      <protection/>
    </xf>
    <xf numFmtId="0" fontId="0" fillId="33" borderId="41" xfId="0" applyFont="1" applyFill="1" applyBorder="1" applyAlignment="1" applyProtection="1">
      <alignment horizontal="justify" vertical="center" wrapText="1"/>
      <protection/>
    </xf>
    <xf numFmtId="0" fontId="0" fillId="33" borderId="44" xfId="0" applyFont="1" applyFill="1" applyBorder="1" applyAlignment="1" applyProtection="1">
      <alignment horizontal="justify" vertical="center" wrapText="1"/>
      <protection/>
    </xf>
    <xf numFmtId="0" fontId="8" fillId="38" borderId="20" xfId="0" applyFont="1" applyFill="1" applyBorder="1" applyAlignment="1" applyProtection="1">
      <alignment horizontal="left" vertical="center" wrapText="1"/>
      <protection/>
    </xf>
    <xf numFmtId="0" fontId="8" fillId="38" borderId="23" xfId="0" applyFont="1" applyFill="1" applyBorder="1" applyAlignment="1" applyProtection="1">
      <alignment horizontal="left" vertical="center" wrapText="1"/>
      <protection/>
    </xf>
    <xf numFmtId="0" fontId="0" fillId="0" borderId="22" xfId="0" applyFont="1" applyFill="1" applyBorder="1" applyAlignment="1" applyProtection="1">
      <alignment vertical="center" wrapText="1"/>
      <protection/>
    </xf>
    <xf numFmtId="0" fontId="10" fillId="43" borderId="59" xfId="0" applyFont="1" applyFill="1" applyBorder="1" applyAlignment="1" applyProtection="1">
      <alignment vertical="center" textRotation="255"/>
      <protection/>
    </xf>
    <xf numFmtId="0" fontId="10" fillId="43" borderId="57" xfId="0" applyFont="1" applyFill="1" applyBorder="1" applyAlignment="1" applyProtection="1">
      <alignment vertical="center" textRotation="255"/>
      <protection/>
    </xf>
    <xf numFmtId="0" fontId="11" fillId="43" borderId="57" xfId="0" applyFont="1" applyFill="1" applyBorder="1" applyAlignment="1" applyProtection="1">
      <alignment vertical="center" textRotation="255"/>
      <protection/>
    </xf>
    <xf numFmtId="0" fontId="8" fillId="41" borderId="86" xfId="0" applyFont="1" applyFill="1" applyBorder="1" applyAlignment="1" applyProtection="1">
      <alignment vertical="center" wrapText="1"/>
      <protection/>
    </xf>
    <xf numFmtId="0" fontId="2" fillId="41" borderId="62" xfId="0" applyFont="1" applyFill="1" applyBorder="1" applyAlignment="1" applyProtection="1">
      <alignment vertical="center" wrapText="1"/>
      <protection/>
    </xf>
    <xf numFmtId="0" fontId="2" fillId="33" borderId="27" xfId="0" applyFont="1" applyFill="1" applyBorder="1" applyAlignment="1" applyProtection="1">
      <alignment horizontal="justify" vertical="center" wrapText="1"/>
      <protection/>
    </xf>
    <xf numFmtId="0" fontId="2" fillId="33" borderId="33" xfId="0" applyFont="1" applyFill="1" applyBorder="1" applyAlignment="1" applyProtection="1">
      <alignment horizontal="justify" vertical="center" wrapText="1"/>
      <protection/>
    </xf>
    <xf numFmtId="0" fontId="2" fillId="41" borderId="86" xfId="0" applyFont="1" applyFill="1" applyBorder="1" applyAlignment="1" applyProtection="1">
      <alignment horizontal="left" vertical="center" wrapText="1"/>
      <protection/>
    </xf>
    <xf numFmtId="0" fontId="0" fillId="0" borderId="60" xfId="0" applyBorder="1" applyAlignment="1">
      <alignment vertical="center" wrapText="1"/>
    </xf>
    <xf numFmtId="0" fontId="0" fillId="41" borderId="62" xfId="0" applyFill="1" applyBorder="1" applyAlignment="1" applyProtection="1">
      <alignment horizontal="left" vertical="center" wrapText="1"/>
      <protection/>
    </xf>
    <xf numFmtId="0" fontId="0" fillId="0" borderId="61" xfId="0" applyBorder="1" applyAlignment="1">
      <alignment vertical="center" wrapText="1"/>
    </xf>
    <xf numFmtId="0" fontId="2" fillId="33" borderId="26" xfId="0" applyFont="1" applyFill="1" applyBorder="1" applyAlignment="1" applyProtection="1">
      <alignment horizontal="justify" vertical="center" wrapText="1"/>
      <protection/>
    </xf>
    <xf numFmtId="0" fontId="2" fillId="33" borderId="28" xfId="0" applyFont="1" applyFill="1" applyBorder="1" applyAlignment="1" applyProtection="1">
      <alignment horizontal="justify" vertical="center" wrapText="1"/>
      <protection/>
    </xf>
    <xf numFmtId="0" fontId="26" fillId="39" borderId="26" xfId="0" applyFont="1" applyFill="1" applyBorder="1" applyAlignment="1" applyProtection="1" quotePrefix="1">
      <alignment horizontal="left" vertical="center" wrapText="1"/>
      <protection/>
    </xf>
    <xf numFmtId="0" fontId="27" fillId="0" borderId="28" xfId="0" applyFont="1" applyBorder="1" applyAlignment="1">
      <alignment vertical="center" wrapText="1"/>
    </xf>
    <xf numFmtId="0" fontId="9" fillId="39" borderId="59" xfId="0" applyFont="1" applyFill="1" applyBorder="1" applyAlignment="1" applyProtection="1">
      <alignment vertical="center" textRotation="255"/>
      <protection/>
    </xf>
    <xf numFmtId="0" fontId="9" fillId="39" borderId="57" xfId="0" applyFont="1" applyFill="1" applyBorder="1" applyAlignment="1" applyProtection="1">
      <alignment vertical="center" textRotation="255"/>
      <protection/>
    </xf>
    <xf numFmtId="0" fontId="8" fillId="39" borderId="53" xfId="0" applyFont="1" applyFill="1" applyBorder="1" applyAlignment="1" applyProtection="1">
      <alignment horizontal="left" vertical="center" wrapText="1"/>
      <protection/>
    </xf>
    <xf numFmtId="0" fontId="8" fillId="39" borderId="55" xfId="0" applyFont="1" applyFill="1" applyBorder="1" applyAlignment="1" applyProtection="1">
      <alignment horizontal="left" vertical="center" wrapText="1"/>
      <protection/>
    </xf>
    <xf numFmtId="0" fontId="25" fillId="36" borderId="86" xfId="0" applyFont="1" applyFill="1" applyBorder="1" applyAlignment="1" applyProtection="1">
      <alignment horizontal="left" vertical="center" wrapText="1"/>
      <protection/>
    </xf>
    <xf numFmtId="0" fontId="0" fillId="36" borderId="62" xfId="0" applyFill="1" applyBorder="1" applyAlignment="1" applyProtection="1">
      <alignment horizontal="left" vertical="center" wrapText="1"/>
      <protection/>
    </xf>
    <xf numFmtId="0" fontId="4" fillId="33" borderId="45" xfId="0" applyFont="1" applyFill="1" applyBorder="1" applyAlignment="1" applyProtection="1">
      <alignment horizontal="justify" vertical="center" wrapText="1"/>
      <protection/>
    </xf>
    <xf numFmtId="0" fontId="4" fillId="33" borderId="19" xfId="0" applyFont="1" applyFill="1" applyBorder="1" applyAlignment="1" applyProtection="1">
      <alignment horizontal="justify" vertical="center" wrapText="1"/>
      <protection/>
    </xf>
    <xf numFmtId="0" fontId="9" fillId="36" borderId="25" xfId="0" applyFont="1" applyFill="1" applyBorder="1" applyAlignment="1" applyProtection="1">
      <alignment vertical="center" textRotation="255"/>
      <protection/>
    </xf>
    <xf numFmtId="0" fontId="9" fillId="36" borderId="15" xfId="0" applyFont="1" applyFill="1" applyBorder="1" applyAlignment="1" applyProtection="1">
      <alignment vertical="center" textRotation="255"/>
      <protection/>
    </xf>
    <xf numFmtId="0" fontId="9" fillId="36" borderId="24" xfId="0" applyFont="1" applyFill="1" applyBorder="1" applyAlignment="1" applyProtection="1">
      <alignment vertical="center" textRotation="255"/>
      <protection/>
    </xf>
    <xf numFmtId="0" fontId="8" fillId="36" borderId="20" xfId="0" applyFont="1" applyFill="1" applyBorder="1" applyAlignment="1" applyProtection="1">
      <alignment horizontal="justify" vertical="center" wrapText="1"/>
      <protection/>
    </xf>
    <xf numFmtId="0" fontId="8" fillId="36" borderId="23" xfId="0" applyFont="1" applyFill="1" applyBorder="1" applyAlignment="1" applyProtection="1">
      <alignment horizontal="justify" vertical="center" wrapText="1"/>
      <protection/>
    </xf>
    <xf numFmtId="0" fontId="0" fillId="0" borderId="67" xfId="0" applyFont="1" applyFill="1" applyBorder="1" applyAlignment="1" applyProtection="1">
      <alignment horizontal="left" vertical="center" wrapText="1"/>
      <protection/>
    </xf>
    <xf numFmtId="0" fontId="0" fillId="0" borderId="55" xfId="0" applyFont="1" applyFill="1" applyBorder="1" applyAlignment="1" applyProtection="1">
      <alignment horizontal="left" vertical="center" wrapText="1"/>
      <protection/>
    </xf>
    <xf numFmtId="0" fontId="9" fillId="38" borderId="25" xfId="0" applyFont="1" applyFill="1" applyBorder="1" applyAlignment="1" applyProtection="1">
      <alignment vertical="center" textRotation="255"/>
      <protection/>
    </xf>
    <xf numFmtId="0" fontId="9" fillId="38" borderId="15" xfId="0" applyFont="1" applyFill="1" applyBorder="1" applyAlignment="1" applyProtection="1">
      <alignment vertical="center" textRotation="255"/>
      <protection/>
    </xf>
    <xf numFmtId="0" fontId="9" fillId="38" borderId="24" xfId="0" applyFont="1" applyFill="1" applyBorder="1" applyAlignment="1" applyProtection="1">
      <alignment vertical="center" textRotation="255"/>
      <protection/>
    </xf>
    <xf numFmtId="0" fontId="0" fillId="33" borderId="67" xfId="0" applyFont="1" applyFill="1" applyBorder="1" applyAlignment="1" applyProtection="1">
      <alignment horizontal="justify" vertical="center" wrapText="1"/>
      <protection/>
    </xf>
    <xf numFmtId="0" fontId="0" fillId="33" borderId="55" xfId="0" applyFont="1" applyFill="1" applyBorder="1" applyAlignment="1" applyProtection="1">
      <alignment horizontal="justify" vertical="center" wrapText="1"/>
      <protection/>
    </xf>
    <xf numFmtId="0" fontId="8" fillId="37" borderId="20" xfId="0" applyFont="1" applyFill="1" applyBorder="1" applyAlignment="1" applyProtection="1">
      <alignment horizontal="justify" vertical="center" wrapText="1"/>
      <protection/>
    </xf>
    <xf numFmtId="0" fontId="8" fillId="37" borderId="23" xfId="0" applyFont="1" applyFill="1" applyBorder="1" applyAlignment="1" applyProtection="1">
      <alignment horizontal="justify" vertical="center" wrapText="1"/>
      <protection/>
    </xf>
    <xf numFmtId="0" fontId="0" fillId="0" borderId="20"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0" fillId="0" borderId="0" xfId="0" applyFont="1" applyBorder="1" applyAlignment="1" applyProtection="1">
      <alignment wrapText="1"/>
      <protection/>
    </xf>
    <xf numFmtId="0" fontId="18" fillId="0" borderId="85" xfId="0" applyFont="1" applyBorder="1" applyAlignment="1" applyProtection="1">
      <alignment vertical="center" wrapText="1"/>
      <protection/>
    </xf>
    <xf numFmtId="0" fontId="19" fillId="0" borderId="0" xfId="0" applyFont="1" applyBorder="1" applyAlignment="1" applyProtection="1">
      <alignment wrapText="1"/>
      <protection/>
    </xf>
    <xf numFmtId="0" fontId="18" fillId="0" borderId="86" xfId="0" applyFont="1" applyBorder="1" applyAlignment="1" applyProtection="1">
      <alignment vertical="center" wrapText="1"/>
      <protection/>
    </xf>
    <xf numFmtId="0" fontId="0" fillId="0" borderId="18" xfId="0" applyBorder="1" applyAlignment="1" applyProtection="1">
      <alignment wrapText="1"/>
      <protection/>
    </xf>
    <xf numFmtId="0" fontId="16" fillId="0" borderId="62" xfId="0" applyFont="1" applyBorder="1" applyAlignment="1" applyProtection="1">
      <alignment vertical="center" wrapText="1"/>
      <protection/>
    </xf>
    <xf numFmtId="0" fontId="20" fillId="0" borderId="50" xfId="0" applyFont="1" applyBorder="1" applyAlignment="1" applyProtection="1">
      <alignment wrapText="1"/>
      <protection/>
    </xf>
    <xf numFmtId="0" fontId="19" fillId="0" borderId="18" xfId="0" applyFont="1" applyBorder="1" applyAlignment="1" applyProtection="1">
      <alignment wrapText="1"/>
      <protection/>
    </xf>
    <xf numFmtId="0" fontId="26" fillId="0" borderId="10" xfId="0" applyFont="1" applyFill="1" applyBorder="1" applyAlignment="1">
      <alignment horizontal="right" vertical="center"/>
    </xf>
    <xf numFmtId="0" fontId="26" fillId="0" borderId="26" xfId="0" applyFont="1" applyFill="1" applyBorder="1" applyAlignment="1">
      <alignment horizontal="right" vertical="center"/>
    </xf>
    <xf numFmtId="0" fontId="0" fillId="0" borderId="10" xfId="0" applyFill="1" applyBorder="1" applyAlignment="1">
      <alignment horizontal="right" vertical="center"/>
    </xf>
    <xf numFmtId="0" fontId="0" fillId="0" borderId="26" xfId="0" applyFill="1" applyBorder="1" applyAlignment="1">
      <alignment horizontal="right" vertical="center"/>
    </xf>
    <xf numFmtId="0" fontId="0" fillId="0" borderId="10" xfId="0" applyFill="1" applyBorder="1" applyAlignment="1">
      <alignment horizontal="right"/>
    </xf>
    <xf numFmtId="0" fontId="0" fillId="0" borderId="26" xfId="0" applyFill="1" applyBorder="1" applyAlignment="1">
      <alignment horizontal="right"/>
    </xf>
    <xf numFmtId="10" fontId="2" fillId="0" borderId="26" xfId="0" applyNumberFormat="1" applyFont="1" applyFill="1" applyBorder="1" applyAlignment="1" applyProtection="1">
      <alignment horizontal="center" vertical="center"/>
      <protection/>
    </xf>
    <xf numFmtId="10" fontId="2" fillId="0" borderId="28" xfId="0" applyNumberFormat="1" applyFont="1" applyFill="1" applyBorder="1" applyAlignment="1" applyProtection="1">
      <alignment horizontal="center" vertical="center"/>
      <protection/>
    </xf>
    <xf numFmtId="0" fontId="2" fillId="39" borderId="26" xfId="0" applyFont="1" applyFill="1" applyBorder="1" applyAlignment="1" applyProtection="1">
      <alignment horizontal="center" vertical="center"/>
      <protection locked="0"/>
    </xf>
    <xf numFmtId="0" fontId="2" fillId="39" borderId="28" xfId="0" applyFont="1" applyFill="1" applyBorder="1" applyAlignment="1" applyProtection="1">
      <alignment horizontal="center"/>
      <protection locked="0"/>
    </xf>
    <xf numFmtId="0" fontId="8" fillId="44" borderId="20" xfId="0" applyFont="1" applyFill="1" applyBorder="1" applyAlignment="1" applyProtection="1">
      <alignment horizontal="left" vertical="center" wrapText="1"/>
      <protection/>
    </xf>
    <xf numFmtId="0" fontId="2" fillId="44" borderId="25" xfId="0" applyFont="1" applyFill="1" applyBorder="1" applyAlignment="1" applyProtection="1">
      <alignment vertical="center" textRotation="255"/>
      <protection/>
    </xf>
    <xf numFmtId="0" fontId="2" fillId="44" borderId="24" xfId="0" applyFont="1" applyFill="1" applyBorder="1" applyAlignment="1" applyProtection="1">
      <alignment vertical="center" textRotation="255"/>
      <protection/>
    </xf>
    <xf numFmtId="177" fontId="10" fillId="44" borderId="20" xfId="0" applyNumberFormat="1" applyFont="1" applyFill="1" applyBorder="1" applyAlignment="1" applyProtection="1">
      <alignment horizontal="center" vertical="center" wrapText="1"/>
      <protection/>
    </xf>
    <xf numFmtId="177" fontId="10" fillId="44" borderId="21" xfId="0" applyNumberFormat="1" applyFont="1" applyFill="1" applyBorder="1" applyAlignment="1" applyProtection="1">
      <alignment horizontal="center" vertical="center" wrapText="1"/>
      <protection/>
    </xf>
    <xf numFmtId="177" fontId="10" fillId="44" borderId="22" xfId="0" applyNumberFormat="1" applyFont="1" applyFill="1" applyBorder="1" applyAlignment="1" applyProtection="1">
      <alignment horizontal="center" vertical="center" wrapText="1"/>
      <protection/>
    </xf>
    <xf numFmtId="177" fontId="10" fillId="44" borderId="75" xfId="0" applyNumberFormat="1" applyFont="1" applyFill="1" applyBorder="1" applyAlignment="1" applyProtection="1">
      <alignment horizontal="center" vertical="center" wrapText="1"/>
      <protection/>
    </xf>
    <xf numFmtId="177" fontId="10" fillId="44" borderId="87" xfId="0" applyNumberFormat="1" applyFont="1" applyFill="1" applyBorder="1" applyAlignment="1" applyProtection="1">
      <alignment horizontal="center" vertical="center" wrapText="1"/>
      <protection/>
    </xf>
    <xf numFmtId="0" fontId="11" fillId="44" borderId="40" xfId="0" applyFont="1" applyFill="1" applyBorder="1" applyAlignment="1" applyProtection="1">
      <alignment horizontal="left" vertical="center" wrapText="1"/>
      <protection/>
    </xf>
    <xf numFmtId="177" fontId="11" fillId="44" borderId="40" xfId="0" applyNumberFormat="1" applyFont="1" applyFill="1" applyBorder="1" applyAlignment="1" applyProtection="1">
      <alignment horizontal="right" vertical="center" wrapText="1"/>
      <protection/>
    </xf>
    <xf numFmtId="177" fontId="11" fillId="44" borderId="30" xfId="0" applyNumberFormat="1" applyFont="1" applyFill="1" applyBorder="1" applyAlignment="1" applyProtection="1">
      <alignment horizontal="right" vertical="center" wrapText="1"/>
      <protection/>
    </xf>
    <xf numFmtId="177" fontId="11" fillId="44" borderId="38" xfId="0" applyNumberFormat="1" applyFont="1" applyFill="1" applyBorder="1" applyAlignment="1" applyProtection="1">
      <alignment horizontal="right" vertical="center" wrapText="1"/>
      <protection/>
    </xf>
    <xf numFmtId="177" fontId="11" fillId="44" borderId="31" xfId="0" applyNumberFormat="1" applyFont="1" applyFill="1" applyBorder="1" applyAlignment="1" applyProtection="1">
      <alignment horizontal="right" vertical="center" wrapText="1"/>
      <protection/>
    </xf>
    <xf numFmtId="0" fontId="10" fillId="44" borderId="25" xfId="0" applyFont="1" applyFill="1" applyBorder="1" applyAlignment="1" applyProtection="1">
      <alignment horizontal="center" vertical="center"/>
      <protection/>
    </xf>
    <xf numFmtId="0" fontId="0" fillId="44" borderId="24" xfId="0" applyFill="1" applyBorder="1" applyAlignment="1" applyProtection="1">
      <alignment horizontal="center" vertical="center"/>
      <protection/>
    </xf>
    <xf numFmtId="0" fontId="10" fillId="44" borderId="15" xfId="0" applyFont="1" applyFill="1" applyBorder="1" applyAlignment="1" applyProtection="1">
      <alignment horizontal="center" vertical="center" wrapText="1"/>
      <protection/>
    </xf>
    <xf numFmtId="0" fontId="2" fillId="45" borderId="10" xfId="0" applyFont="1" applyFill="1" applyBorder="1" applyAlignment="1" applyProtection="1">
      <alignment horizontal="left" vertical="center"/>
      <protection/>
    </xf>
    <xf numFmtId="0" fontId="9" fillId="45" borderId="26" xfId="0" applyFont="1" applyFill="1" applyBorder="1" applyAlignment="1" applyProtection="1">
      <alignment horizontal="center" vertical="center"/>
      <protection/>
    </xf>
    <xf numFmtId="0" fontId="9" fillId="45" borderId="27" xfId="0" applyFont="1" applyFill="1" applyBorder="1" applyAlignment="1" applyProtection="1">
      <alignment horizontal="center" vertical="center"/>
      <protection/>
    </xf>
    <xf numFmtId="0" fontId="9" fillId="45" borderId="28" xfId="0" applyFont="1" applyFill="1" applyBorder="1" applyAlignment="1" applyProtection="1">
      <alignment horizontal="center" vertical="center"/>
      <protection/>
    </xf>
    <xf numFmtId="0" fontId="11" fillId="45" borderId="68" xfId="0" applyFont="1" applyFill="1" applyBorder="1" applyAlignment="1" applyProtection="1" quotePrefix="1">
      <alignment horizontal="left" vertical="center" wrapText="1"/>
      <protection locked="0"/>
    </xf>
    <xf numFmtId="0" fontId="11" fillId="45" borderId="69" xfId="0" applyFont="1" applyFill="1" applyBorder="1" applyAlignment="1" applyProtection="1">
      <alignment horizontal="right" vertical="center"/>
      <protection locked="0"/>
    </xf>
    <xf numFmtId="0" fontId="11" fillId="45" borderId="38" xfId="0" applyFont="1" applyFill="1" applyBorder="1" applyAlignment="1" applyProtection="1">
      <alignment horizontal="right" vertical="center"/>
      <protection locked="0"/>
    </xf>
    <xf numFmtId="3" fontId="11" fillId="45" borderId="68" xfId="0" applyNumberFormat="1" applyFont="1" applyFill="1" applyBorder="1" applyAlignment="1" applyProtection="1">
      <alignment horizontal="right" vertical="center"/>
      <protection locked="0"/>
    </xf>
    <xf numFmtId="0" fontId="11" fillId="45" borderId="11" xfId="0" applyFont="1" applyFill="1" applyBorder="1" applyAlignment="1" applyProtection="1">
      <alignment horizontal="left" vertical="center" wrapText="1"/>
      <protection locked="0"/>
    </xf>
    <xf numFmtId="0" fontId="11" fillId="45" borderId="28" xfId="0" applyFont="1" applyFill="1" applyBorder="1" applyAlignment="1" applyProtection="1">
      <alignment horizontal="right" vertical="center"/>
      <protection locked="0"/>
    </xf>
    <xf numFmtId="0" fontId="11" fillId="45" borderId="27" xfId="0" applyFont="1" applyFill="1" applyBorder="1" applyAlignment="1" applyProtection="1">
      <alignment horizontal="right" vertical="center"/>
      <protection locked="0"/>
    </xf>
    <xf numFmtId="3" fontId="11" fillId="45" borderId="11" xfId="0" applyNumberFormat="1" applyFont="1" applyFill="1" applyBorder="1" applyAlignment="1" applyProtection="1">
      <alignment horizontal="right" vertical="center"/>
      <protection locked="0"/>
    </xf>
    <xf numFmtId="0" fontId="11" fillId="45" borderId="11" xfId="0" applyFont="1" applyFill="1" applyBorder="1" applyAlignment="1" applyProtection="1" quotePrefix="1">
      <alignment horizontal="left" vertical="center" wrapText="1"/>
      <protection locked="0"/>
    </xf>
    <xf numFmtId="0" fontId="11" fillId="45" borderId="11" xfId="0" applyFont="1" applyFill="1" applyBorder="1" applyAlignment="1" applyProtection="1">
      <alignment horizontal="left" vertical="center" wrapText="1"/>
      <protection/>
    </xf>
    <xf numFmtId="0" fontId="11" fillId="45" borderId="28" xfId="0" applyFont="1" applyFill="1" applyBorder="1" applyAlignment="1" applyProtection="1">
      <alignment horizontal="right" vertical="center"/>
      <protection/>
    </xf>
    <xf numFmtId="0" fontId="11" fillId="45" borderId="27" xfId="0" applyFont="1" applyFill="1" applyBorder="1" applyAlignment="1" applyProtection="1">
      <alignment horizontal="right" vertical="center"/>
      <protection/>
    </xf>
    <xf numFmtId="3" fontId="11" fillId="45" borderId="11" xfId="0" applyNumberFormat="1" applyFont="1" applyFill="1" applyBorder="1" applyAlignment="1" applyProtection="1">
      <alignment horizontal="right" vertical="center"/>
      <protection/>
    </xf>
    <xf numFmtId="3" fontId="11" fillId="45" borderId="40" xfId="0" applyNumberFormat="1" applyFont="1" applyFill="1" applyBorder="1" applyAlignment="1" applyProtection="1">
      <alignment horizontal="right" vertical="center" wrapText="1"/>
      <protection/>
    </xf>
    <xf numFmtId="3" fontId="11" fillId="45" borderId="30" xfId="0" applyNumberFormat="1" applyFont="1" applyFill="1" applyBorder="1" applyAlignment="1" applyProtection="1">
      <alignment horizontal="right" vertical="center" wrapText="1"/>
      <protection/>
    </xf>
    <xf numFmtId="3" fontId="11" fillId="45" borderId="38" xfId="0" applyNumberFormat="1" applyFont="1" applyFill="1" applyBorder="1" applyAlignment="1" applyProtection="1">
      <alignment horizontal="right" vertical="center" wrapText="1"/>
      <protection/>
    </xf>
    <xf numFmtId="3" fontId="11" fillId="45" borderId="31" xfId="0" applyNumberFormat="1" applyFont="1" applyFill="1" applyBorder="1" applyAlignment="1" applyProtection="1">
      <alignment horizontal="right" vertical="center" wrapText="1"/>
      <protection/>
    </xf>
    <xf numFmtId="3" fontId="11" fillId="45" borderId="41" xfId="0" applyNumberFormat="1" applyFont="1" applyFill="1" applyBorder="1" applyAlignment="1" applyProtection="1">
      <alignment horizontal="right" vertical="center" wrapText="1"/>
      <protection/>
    </xf>
    <xf numFmtId="3" fontId="11" fillId="45" borderId="42" xfId="0" applyNumberFormat="1" applyFont="1" applyFill="1" applyBorder="1" applyAlignment="1" applyProtection="1">
      <alignment horizontal="right" vertical="center" wrapText="1"/>
      <protection/>
    </xf>
    <xf numFmtId="3" fontId="11" fillId="45" borderId="43" xfId="0" applyNumberFormat="1" applyFont="1" applyFill="1" applyBorder="1" applyAlignment="1" applyProtection="1">
      <alignment horizontal="right" vertical="center" wrapText="1"/>
      <protection/>
    </xf>
    <xf numFmtId="3" fontId="11" fillId="45" borderId="88" xfId="0" applyNumberFormat="1" applyFont="1" applyFill="1" applyBorder="1" applyAlignment="1" applyProtection="1">
      <alignment horizontal="right" vertical="center" wrapText="1"/>
      <protection/>
    </xf>
    <xf numFmtId="177" fontId="11" fillId="45" borderId="40" xfId="0" applyNumberFormat="1" applyFont="1" applyFill="1" applyBorder="1" applyAlignment="1" applyProtection="1">
      <alignment horizontal="right" vertical="center" wrapText="1"/>
      <protection/>
    </xf>
    <xf numFmtId="177" fontId="11" fillId="45" borderId="30" xfId="0" applyNumberFormat="1" applyFont="1" applyFill="1" applyBorder="1" applyAlignment="1" applyProtection="1">
      <alignment horizontal="right" vertical="center" wrapText="1"/>
      <protection/>
    </xf>
    <xf numFmtId="177" fontId="11" fillId="45" borderId="38" xfId="0" applyNumberFormat="1" applyFont="1" applyFill="1" applyBorder="1" applyAlignment="1" applyProtection="1">
      <alignment horizontal="right" vertical="center" wrapText="1"/>
      <protection/>
    </xf>
    <xf numFmtId="177" fontId="11" fillId="45" borderId="31" xfId="0" applyNumberFormat="1" applyFont="1" applyFill="1" applyBorder="1" applyAlignment="1" applyProtection="1">
      <alignment horizontal="right" vertical="center" wrapText="1"/>
      <protection/>
    </xf>
    <xf numFmtId="177" fontId="11" fillId="45" borderId="48" xfId="0" applyNumberFormat="1" applyFont="1" applyFill="1" applyBorder="1" applyAlignment="1" applyProtection="1">
      <alignment horizontal="right" vertical="center" wrapText="1"/>
      <protection/>
    </xf>
    <xf numFmtId="177" fontId="11" fillId="45" borderId="10" xfId="0" applyNumberFormat="1" applyFont="1" applyFill="1" applyBorder="1" applyAlignment="1" applyProtection="1">
      <alignment horizontal="right" vertical="center" wrapText="1"/>
      <protection/>
    </xf>
    <xf numFmtId="177" fontId="11" fillId="45" borderId="27" xfId="0" applyNumberFormat="1" applyFont="1" applyFill="1" applyBorder="1" applyAlignment="1" applyProtection="1">
      <alignment horizontal="right" vertical="center" wrapText="1"/>
      <protection/>
    </xf>
    <xf numFmtId="177" fontId="11" fillId="45" borderId="13" xfId="0" applyNumberFormat="1" applyFont="1" applyFill="1" applyBorder="1" applyAlignment="1" applyProtection="1">
      <alignment horizontal="right" vertical="center" wrapText="1"/>
      <protection/>
    </xf>
    <xf numFmtId="9" fontId="11" fillId="45" borderId="40" xfId="0" applyNumberFormat="1" applyFont="1" applyFill="1" applyBorder="1" applyAlignment="1" applyProtection="1">
      <alignment horizontal="right" vertical="center" wrapText="1"/>
      <protection/>
    </xf>
    <xf numFmtId="9" fontId="11" fillId="45" borderId="30" xfId="0" applyNumberFormat="1" applyFont="1" applyFill="1" applyBorder="1" applyAlignment="1" applyProtection="1">
      <alignment horizontal="right" vertical="center" wrapText="1"/>
      <protection/>
    </xf>
    <xf numFmtId="9" fontId="11" fillId="45" borderId="38" xfId="0" applyNumberFormat="1" applyFont="1" applyFill="1" applyBorder="1" applyAlignment="1" applyProtection="1">
      <alignment horizontal="right" vertical="center" wrapText="1"/>
      <protection/>
    </xf>
    <xf numFmtId="9" fontId="11" fillId="45" borderId="31" xfId="0" applyNumberFormat="1" applyFont="1" applyFill="1" applyBorder="1" applyAlignment="1" applyProtection="1">
      <alignment horizontal="right" vertical="center" wrapText="1"/>
      <protection/>
    </xf>
    <xf numFmtId="6" fontId="11" fillId="45" borderId="40" xfId="0" applyNumberFormat="1" applyFont="1" applyFill="1" applyBorder="1" applyAlignment="1" applyProtection="1">
      <alignment horizontal="right" vertical="center" wrapText="1"/>
      <protection/>
    </xf>
    <xf numFmtId="6" fontId="11" fillId="45" borderId="30" xfId="0" applyNumberFormat="1" applyFont="1" applyFill="1" applyBorder="1" applyAlignment="1" applyProtection="1">
      <alignment horizontal="right" vertical="center" wrapText="1"/>
      <protection/>
    </xf>
    <xf numFmtId="6" fontId="11" fillId="45" borderId="38" xfId="0" applyNumberFormat="1" applyFont="1" applyFill="1" applyBorder="1" applyAlignment="1" applyProtection="1">
      <alignment horizontal="right" vertical="center" wrapText="1"/>
      <protection/>
    </xf>
    <xf numFmtId="6" fontId="11" fillId="45" borderId="31" xfId="0" applyNumberFormat="1" applyFont="1" applyFill="1" applyBorder="1" applyAlignment="1" applyProtection="1">
      <alignment horizontal="right" vertical="center" wrapText="1"/>
      <protection/>
    </xf>
    <xf numFmtId="177" fontId="10" fillId="45" borderId="41" xfId="0" applyNumberFormat="1" applyFont="1" applyFill="1" applyBorder="1" applyAlignment="1" applyProtection="1">
      <alignment horizontal="right" vertical="center" wrapText="1"/>
      <protection/>
    </xf>
    <xf numFmtId="177" fontId="10" fillId="45" borderId="16" xfId="0" applyNumberFormat="1" applyFont="1" applyFill="1" applyBorder="1" applyAlignment="1" applyProtection="1">
      <alignment horizontal="right" vertical="center" wrapText="1"/>
      <protection/>
    </xf>
    <xf numFmtId="0" fontId="10" fillId="45" borderId="48" xfId="0" applyFont="1" applyFill="1" applyBorder="1" applyAlignment="1" applyProtection="1">
      <alignment horizontal="left" vertical="center" wrapText="1"/>
      <protection/>
    </xf>
    <xf numFmtId="9" fontId="10" fillId="45" borderId="48" xfId="59" applyFont="1" applyFill="1" applyBorder="1" applyAlignment="1" applyProtection="1">
      <alignment horizontal="right" vertical="center" wrapText="1"/>
      <protection/>
    </xf>
    <xf numFmtId="9" fontId="10" fillId="45" borderId="10" xfId="59" applyFont="1" applyFill="1" applyBorder="1" applyAlignment="1" applyProtection="1">
      <alignment horizontal="right" vertical="center" wrapText="1"/>
      <protection/>
    </xf>
    <xf numFmtId="9" fontId="10" fillId="45" borderId="27" xfId="59" applyFont="1" applyFill="1" applyBorder="1" applyAlignment="1" applyProtection="1">
      <alignment horizontal="right" vertical="center" wrapText="1"/>
      <protection/>
    </xf>
    <xf numFmtId="9" fontId="10" fillId="45" borderId="13" xfId="59" applyFont="1" applyFill="1" applyBorder="1" applyAlignment="1" applyProtection="1">
      <alignment horizontal="right" vertical="center" wrapText="1"/>
      <protection/>
    </xf>
    <xf numFmtId="0" fontId="2" fillId="46" borderId="25" xfId="0" applyFont="1" applyFill="1" applyBorder="1" applyAlignment="1" applyProtection="1">
      <alignment vertical="center" textRotation="255"/>
      <protection/>
    </xf>
    <xf numFmtId="0" fontId="9" fillId="46" borderId="15" xfId="0" applyFont="1" applyFill="1" applyBorder="1" applyAlignment="1" applyProtection="1">
      <alignment vertical="center" textRotation="255"/>
      <protection/>
    </xf>
    <xf numFmtId="0" fontId="9" fillId="46" borderId="24" xfId="0" applyFont="1" applyFill="1" applyBorder="1" applyAlignment="1" applyProtection="1">
      <alignment vertical="center" textRotation="255"/>
      <protection/>
    </xf>
    <xf numFmtId="0" fontId="8" fillId="46" borderId="16" xfId="0" applyFont="1" applyFill="1" applyBorder="1" applyAlignment="1" applyProtection="1">
      <alignment horizontal="left" vertical="center" wrapText="1"/>
      <protection/>
    </xf>
    <xf numFmtId="177" fontId="10" fillId="46" borderId="20" xfId="0" applyNumberFormat="1" applyFont="1" applyFill="1" applyBorder="1" applyAlignment="1" applyProtection="1">
      <alignment horizontal="center" vertical="center" wrapText="1"/>
      <protection/>
    </xf>
    <xf numFmtId="177" fontId="10" fillId="46" borderId="21" xfId="0" applyNumberFormat="1" applyFont="1" applyFill="1" applyBorder="1" applyAlignment="1" applyProtection="1">
      <alignment horizontal="center" vertical="center" wrapText="1"/>
      <protection/>
    </xf>
    <xf numFmtId="177" fontId="10" fillId="46" borderId="22" xfId="0" applyNumberFormat="1" applyFont="1" applyFill="1" applyBorder="1" applyAlignment="1" applyProtection="1">
      <alignment horizontal="center" vertical="center" wrapText="1"/>
      <protection/>
    </xf>
    <xf numFmtId="177" fontId="10" fillId="46" borderId="75" xfId="0" applyNumberFormat="1" applyFont="1" applyFill="1" applyBorder="1" applyAlignment="1" applyProtection="1">
      <alignment horizontal="center" vertical="center" wrapText="1"/>
      <protection/>
    </xf>
    <xf numFmtId="0" fontId="10" fillId="46" borderId="24" xfId="0" applyFont="1" applyFill="1" applyBorder="1" applyAlignment="1" applyProtection="1">
      <alignment horizontal="left" vertical="center" wrapText="1"/>
      <protection/>
    </xf>
    <xf numFmtId="177" fontId="10" fillId="46" borderId="41" xfId="0" applyNumberFormat="1" applyFont="1" applyFill="1" applyBorder="1" applyAlignment="1" applyProtection="1">
      <alignment horizontal="right" vertical="center" wrapText="1"/>
      <protection/>
    </xf>
    <xf numFmtId="177" fontId="10" fillId="46" borderId="42" xfId="0" applyNumberFormat="1" applyFont="1" applyFill="1" applyBorder="1" applyAlignment="1" applyProtection="1">
      <alignment horizontal="right" vertical="center" wrapText="1"/>
      <protection/>
    </xf>
    <xf numFmtId="177" fontId="10" fillId="46" borderId="43" xfId="0" applyNumberFormat="1" applyFont="1" applyFill="1" applyBorder="1" applyAlignment="1" applyProtection="1">
      <alignment horizontal="right" vertical="center" wrapText="1"/>
      <protection/>
    </xf>
    <xf numFmtId="177" fontId="10" fillId="46" borderId="88" xfId="0" applyNumberFormat="1" applyFont="1" applyFill="1" applyBorder="1" applyAlignment="1" applyProtection="1">
      <alignment horizontal="right" vertical="center" wrapText="1"/>
      <protection/>
    </xf>
    <xf numFmtId="0" fontId="10" fillId="46" borderId="47" xfId="0" applyFont="1" applyFill="1" applyBorder="1" applyAlignment="1" applyProtection="1">
      <alignment horizontal="left" vertical="center" wrapText="1"/>
      <protection/>
    </xf>
    <xf numFmtId="6" fontId="10" fillId="46" borderId="70" xfId="0" applyNumberFormat="1" applyFont="1" applyFill="1" applyBorder="1" applyAlignment="1" applyProtection="1">
      <alignment horizontal="right" vertical="center" wrapText="1"/>
      <protection/>
    </xf>
    <xf numFmtId="6" fontId="10" fillId="46" borderId="35" xfId="0" applyNumberFormat="1" applyFont="1" applyFill="1" applyBorder="1" applyAlignment="1" applyProtection="1">
      <alignment horizontal="right" vertical="center" wrapText="1"/>
      <protection/>
    </xf>
    <xf numFmtId="6" fontId="10" fillId="46" borderId="39" xfId="0" applyNumberFormat="1" applyFont="1" applyFill="1" applyBorder="1" applyAlignment="1" applyProtection="1">
      <alignment horizontal="right" vertical="center" wrapText="1"/>
      <protection/>
    </xf>
    <xf numFmtId="6" fontId="10" fillId="46" borderId="65" xfId="0" applyNumberFormat="1" applyFont="1" applyFill="1" applyBorder="1" applyAlignment="1" applyProtection="1">
      <alignment horizontal="right" vertical="center" wrapText="1"/>
      <protection/>
    </xf>
    <xf numFmtId="0" fontId="11" fillId="46" borderId="72" xfId="0" applyFont="1" applyFill="1" applyBorder="1" applyAlignment="1" applyProtection="1" quotePrefix="1">
      <alignment horizontal="left" vertical="center" wrapText="1"/>
      <protection/>
    </xf>
    <xf numFmtId="177" fontId="11" fillId="46" borderId="49" xfId="0" applyNumberFormat="1" applyFont="1" applyFill="1" applyBorder="1" applyAlignment="1" applyProtection="1">
      <alignment horizontal="right" vertical="center" wrapText="1"/>
      <protection/>
    </xf>
    <xf numFmtId="177" fontId="11" fillId="46" borderId="58" xfId="0" applyNumberFormat="1" applyFont="1" applyFill="1" applyBorder="1" applyAlignment="1" applyProtection="1">
      <alignment horizontal="right" vertical="center" wrapText="1"/>
      <protection/>
    </xf>
    <xf numFmtId="177" fontId="11" fillId="46" borderId="50" xfId="0" applyNumberFormat="1" applyFont="1" applyFill="1" applyBorder="1" applyAlignment="1" applyProtection="1">
      <alignment horizontal="right" vertical="center" wrapText="1"/>
      <protection/>
    </xf>
    <xf numFmtId="177" fontId="11" fillId="46" borderId="63" xfId="0" applyNumberFormat="1" applyFont="1" applyFill="1" applyBorder="1" applyAlignment="1" applyProtection="1">
      <alignment horizontal="right" vertical="center" wrapText="1"/>
      <protection/>
    </xf>
    <xf numFmtId="0" fontId="11" fillId="46" borderId="74" xfId="0" applyFont="1" applyFill="1" applyBorder="1" applyAlignment="1" applyProtection="1">
      <alignment horizontal="left" vertical="center" wrapText="1"/>
      <protection/>
    </xf>
    <xf numFmtId="177" fontId="11" fillId="46" borderId="45" xfId="0" applyNumberFormat="1" applyFont="1" applyFill="1" applyBorder="1" applyAlignment="1" applyProtection="1">
      <alignment horizontal="right" vertical="center" wrapText="1"/>
      <protection/>
    </xf>
    <xf numFmtId="177" fontId="11" fillId="46" borderId="57" xfId="0" applyNumberFormat="1" applyFont="1" applyFill="1" applyBorder="1" applyAlignment="1" applyProtection="1">
      <alignment horizontal="right" vertical="center" wrapText="1"/>
      <protection/>
    </xf>
    <xf numFmtId="177" fontId="11" fillId="46" borderId="0" xfId="0" applyNumberFormat="1" applyFont="1" applyFill="1" applyBorder="1" applyAlignment="1" applyProtection="1">
      <alignment horizontal="right" vertical="center" wrapText="1"/>
      <protection/>
    </xf>
    <xf numFmtId="177" fontId="11" fillId="46" borderId="89" xfId="0" applyNumberFormat="1" applyFont="1" applyFill="1" applyBorder="1" applyAlignment="1" applyProtection="1">
      <alignment horizontal="right" vertical="center" wrapText="1"/>
      <protection/>
    </xf>
    <xf numFmtId="0" fontId="8" fillId="47" borderId="20" xfId="0" applyFont="1" applyFill="1" applyBorder="1" applyAlignment="1" applyProtection="1">
      <alignment horizontal="left" vertical="center" wrapText="1"/>
      <protection/>
    </xf>
    <xf numFmtId="177" fontId="10" fillId="47" borderId="20" xfId="0" applyNumberFormat="1" applyFont="1" applyFill="1" applyBorder="1" applyAlignment="1" applyProtection="1">
      <alignment horizontal="center" vertical="center" wrapText="1"/>
      <protection/>
    </xf>
    <xf numFmtId="177" fontId="10" fillId="47" borderId="21" xfId="0" applyNumberFormat="1" applyFont="1" applyFill="1" applyBorder="1" applyAlignment="1" applyProtection="1">
      <alignment horizontal="center" vertical="center" wrapText="1"/>
      <protection/>
    </xf>
    <xf numFmtId="177" fontId="10" fillId="47" borderId="22" xfId="0" applyNumberFormat="1" applyFont="1" applyFill="1" applyBorder="1" applyAlignment="1" applyProtection="1">
      <alignment horizontal="center" vertical="center" wrapText="1"/>
      <protection/>
    </xf>
    <xf numFmtId="177" fontId="10" fillId="47" borderId="75" xfId="0" applyNumberFormat="1" applyFont="1" applyFill="1" applyBorder="1" applyAlignment="1" applyProtection="1">
      <alignment horizontal="center" vertical="center" wrapText="1"/>
      <protection/>
    </xf>
    <xf numFmtId="0" fontId="10" fillId="47" borderId="25" xfId="0" applyFont="1" applyFill="1" applyBorder="1" applyAlignment="1" applyProtection="1">
      <alignment horizontal="center" vertical="center" textRotation="255"/>
      <protection/>
    </xf>
    <xf numFmtId="0" fontId="10" fillId="47" borderId="15" xfId="0" applyFont="1" applyFill="1" applyBorder="1" applyAlignment="1" applyProtection="1">
      <alignment horizontal="center" vertical="center" textRotation="255"/>
      <protection/>
    </xf>
    <xf numFmtId="0" fontId="10" fillId="47" borderId="24" xfId="0" applyFont="1" applyFill="1" applyBorder="1" applyAlignment="1" applyProtection="1">
      <alignment horizontal="center" vertical="center" textRotation="255"/>
      <protection/>
    </xf>
    <xf numFmtId="0" fontId="10" fillId="47" borderId="20" xfId="0" applyFont="1" applyFill="1" applyBorder="1" applyAlignment="1" applyProtection="1" quotePrefix="1">
      <alignment horizontal="left" vertical="center" wrapText="1"/>
      <protection/>
    </xf>
    <xf numFmtId="177" fontId="10" fillId="47" borderId="20" xfId="0" applyNumberFormat="1" applyFont="1" applyFill="1" applyBorder="1" applyAlignment="1" applyProtection="1">
      <alignment horizontal="right" vertical="center" wrapText="1"/>
      <protection/>
    </xf>
    <xf numFmtId="177" fontId="10" fillId="47" borderId="21" xfId="0" applyNumberFormat="1" applyFont="1" applyFill="1" applyBorder="1" applyAlignment="1" applyProtection="1">
      <alignment horizontal="right" vertical="center" wrapText="1"/>
      <protection/>
    </xf>
    <xf numFmtId="177" fontId="10" fillId="47" borderId="22" xfId="0" applyNumberFormat="1" applyFont="1" applyFill="1" applyBorder="1" applyAlignment="1" applyProtection="1">
      <alignment horizontal="right" vertical="center" wrapText="1"/>
      <protection/>
    </xf>
    <xf numFmtId="177" fontId="10" fillId="47" borderId="75" xfId="0" applyNumberFormat="1" applyFont="1" applyFill="1" applyBorder="1" applyAlignment="1" applyProtection="1">
      <alignment horizontal="right" vertical="center" wrapText="1"/>
      <protection/>
    </xf>
    <xf numFmtId="0" fontId="10" fillId="47" borderId="72" xfId="0" applyFont="1" applyFill="1" applyBorder="1" applyAlignment="1" applyProtection="1" quotePrefix="1">
      <alignment horizontal="left" vertical="center" wrapText="1"/>
      <protection/>
    </xf>
    <xf numFmtId="177" fontId="10" fillId="47" borderId="48" xfId="0" applyNumberFormat="1" applyFont="1" applyFill="1" applyBorder="1" applyAlignment="1" applyProtection="1">
      <alignment horizontal="right" vertical="center" wrapText="1"/>
      <protection/>
    </xf>
    <xf numFmtId="177" fontId="10" fillId="47" borderId="10" xfId="0" applyNumberFormat="1" applyFont="1" applyFill="1" applyBorder="1" applyAlignment="1" applyProtection="1">
      <alignment horizontal="right" vertical="center" wrapText="1"/>
      <protection/>
    </xf>
    <xf numFmtId="177" fontId="10" fillId="47" borderId="27" xfId="0" applyNumberFormat="1" applyFont="1" applyFill="1" applyBorder="1" applyAlignment="1" applyProtection="1">
      <alignment horizontal="right" vertical="center" wrapText="1"/>
      <protection/>
    </xf>
    <xf numFmtId="177" fontId="10" fillId="47" borderId="13" xfId="0" applyNumberFormat="1" applyFont="1" applyFill="1" applyBorder="1" applyAlignment="1" applyProtection="1">
      <alignment horizontal="right" vertical="center" wrapText="1"/>
      <protection/>
    </xf>
    <xf numFmtId="0" fontId="10" fillId="47" borderId="55" xfId="0" applyFont="1" applyFill="1" applyBorder="1" applyAlignment="1" applyProtection="1">
      <alignment horizontal="center" vertical="center" textRotation="255"/>
      <protection/>
    </xf>
    <xf numFmtId="0" fontId="0" fillId="47" borderId="19" xfId="0" applyFill="1" applyBorder="1" applyAlignment="1" applyProtection="1">
      <alignment/>
      <protection/>
    </xf>
    <xf numFmtId="0" fontId="0" fillId="47" borderId="44" xfId="0" applyFill="1" applyBorder="1" applyAlignment="1" applyProtection="1">
      <alignment/>
      <protection/>
    </xf>
    <xf numFmtId="0" fontId="10" fillId="47" borderId="47" xfId="0" applyFont="1" applyFill="1" applyBorder="1" applyAlignment="1" applyProtection="1">
      <alignment horizontal="left" vertical="center" wrapText="1"/>
      <protection/>
    </xf>
    <xf numFmtId="177" fontId="10" fillId="47" borderId="70" xfId="0" applyNumberFormat="1" applyFont="1" applyFill="1" applyBorder="1" applyAlignment="1" applyProtection="1">
      <alignment horizontal="right" vertical="center" wrapText="1"/>
      <protection/>
    </xf>
    <xf numFmtId="177" fontId="10" fillId="47" borderId="35" xfId="0" applyNumberFormat="1" applyFont="1" applyFill="1" applyBorder="1" applyAlignment="1" applyProtection="1">
      <alignment horizontal="right" vertical="center" wrapText="1"/>
      <protection/>
    </xf>
    <xf numFmtId="177" fontId="10" fillId="47" borderId="39" xfId="0" applyNumberFormat="1" applyFont="1" applyFill="1" applyBorder="1" applyAlignment="1" applyProtection="1">
      <alignment horizontal="right" vertical="center" wrapText="1"/>
      <protection/>
    </xf>
    <xf numFmtId="177" fontId="10" fillId="47" borderId="65" xfId="0" applyNumberFormat="1" applyFont="1" applyFill="1" applyBorder="1" applyAlignment="1" applyProtection="1">
      <alignment horizontal="right" vertical="center" wrapText="1"/>
      <protection/>
    </xf>
    <xf numFmtId="0" fontId="2" fillId="47" borderId="25" xfId="0" applyFont="1" applyFill="1" applyBorder="1" applyAlignment="1" applyProtection="1" quotePrefix="1">
      <alignment horizontal="center" vertical="center" textRotation="255"/>
      <protection/>
    </xf>
    <xf numFmtId="0" fontId="9" fillId="47" borderId="15" xfId="0" applyFont="1" applyFill="1" applyBorder="1" applyAlignment="1" applyProtection="1">
      <alignment vertical="center" textRotation="255"/>
      <protection/>
    </xf>
    <xf numFmtId="0" fontId="9" fillId="47" borderId="24" xfId="0" applyFont="1" applyFill="1" applyBorder="1" applyAlignment="1" applyProtection="1">
      <alignment vertical="center" textRotation="255"/>
      <protection/>
    </xf>
    <xf numFmtId="3" fontId="11" fillId="47" borderId="45" xfId="0" applyNumberFormat="1" applyFont="1" applyFill="1" applyBorder="1" applyAlignment="1" applyProtection="1">
      <alignment horizontal="right" vertical="center"/>
      <protection/>
    </xf>
    <xf numFmtId="3" fontId="11" fillId="47" borderId="0" xfId="0" applyNumberFormat="1" applyFont="1" applyFill="1" applyBorder="1" applyAlignment="1" applyProtection="1">
      <alignment horizontal="right" vertical="center"/>
      <protection/>
    </xf>
    <xf numFmtId="3" fontId="11" fillId="47" borderId="19" xfId="0" applyNumberFormat="1" applyFont="1" applyFill="1" applyBorder="1" applyAlignment="1" applyProtection="1">
      <alignment horizontal="right" vertical="center"/>
      <protection/>
    </xf>
    <xf numFmtId="0" fontId="10" fillId="48" borderId="72" xfId="0" applyFont="1" applyFill="1" applyBorder="1" applyAlignment="1" applyProtection="1" quotePrefix="1">
      <alignment horizontal="left" vertical="center" wrapText="1"/>
      <protection/>
    </xf>
    <xf numFmtId="177" fontId="10" fillId="48" borderId="49" xfId="0" applyNumberFormat="1" applyFont="1" applyFill="1" applyBorder="1" applyAlignment="1" applyProtection="1">
      <alignment horizontal="right" vertical="center" wrapText="1"/>
      <protection/>
    </xf>
    <xf numFmtId="177" fontId="10" fillId="48" borderId="58" xfId="0" applyNumberFormat="1" applyFont="1" applyFill="1" applyBorder="1" applyAlignment="1" applyProtection="1">
      <alignment horizontal="right" vertical="center" wrapText="1"/>
      <protection/>
    </xf>
    <xf numFmtId="177" fontId="10" fillId="48" borderId="50" xfId="0" applyNumberFormat="1" applyFont="1" applyFill="1" applyBorder="1" applyAlignment="1" applyProtection="1">
      <alignment horizontal="right" vertical="center" wrapText="1"/>
      <protection/>
    </xf>
    <xf numFmtId="177" fontId="10" fillId="48" borderId="63" xfId="0" applyNumberFormat="1" applyFont="1" applyFill="1" applyBorder="1" applyAlignment="1" applyProtection="1">
      <alignment horizontal="right" vertical="center" wrapText="1"/>
      <protection/>
    </xf>
    <xf numFmtId="0" fontId="11" fillId="48" borderId="74" xfId="0" applyFont="1" applyFill="1" applyBorder="1" applyAlignment="1" applyProtection="1" quotePrefix="1">
      <alignment horizontal="left" vertical="center" wrapText="1"/>
      <protection/>
    </xf>
    <xf numFmtId="177" fontId="10" fillId="48" borderId="48" xfId="0" applyNumberFormat="1" applyFont="1" applyFill="1" applyBorder="1" applyAlignment="1" applyProtection="1">
      <alignment horizontal="right" vertical="center" wrapText="1"/>
      <protection/>
    </xf>
    <xf numFmtId="177" fontId="10" fillId="48" borderId="10" xfId="0" applyNumberFormat="1" applyFont="1" applyFill="1" applyBorder="1" applyAlignment="1" applyProtection="1">
      <alignment horizontal="right" vertical="center" wrapText="1"/>
      <protection/>
    </xf>
    <xf numFmtId="177" fontId="10" fillId="48" borderId="27" xfId="0" applyNumberFormat="1" applyFont="1" applyFill="1" applyBorder="1" applyAlignment="1" applyProtection="1">
      <alignment horizontal="right" vertical="center" wrapText="1"/>
      <protection/>
    </xf>
    <xf numFmtId="177" fontId="10" fillId="48" borderId="13" xfId="0" applyNumberFormat="1" applyFont="1" applyFill="1" applyBorder="1" applyAlignment="1" applyProtection="1">
      <alignment horizontal="right" vertical="center" wrapText="1"/>
      <protection/>
    </xf>
    <xf numFmtId="0" fontId="11" fillId="48" borderId="11" xfId="0" applyFont="1" applyFill="1" applyBorder="1" applyAlignment="1" applyProtection="1" quotePrefix="1">
      <alignment horizontal="left" vertical="center" wrapText="1"/>
      <protection/>
    </xf>
    <xf numFmtId="177" fontId="11" fillId="48" borderId="48" xfId="0" applyNumberFormat="1" applyFont="1" applyFill="1" applyBorder="1" applyAlignment="1" applyProtection="1">
      <alignment horizontal="right" vertical="center" wrapText="1"/>
      <protection/>
    </xf>
    <xf numFmtId="177" fontId="11" fillId="48" borderId="10" xfId="0" applyNumberFormat="1" applyFont="1" applyFill="1" applyBorder="1" applyAlignment="1" applyProtection="1">
      <alignment horizontal="right" vertical="center" wrapText="1"/>
      <protection/>
    </xf>
    <xf numFmtId="177" fontId="11" fillId="48" borderId="27" xfId="0" applyNumberFormat="1" applyFont="1" applyFill="1" applyBorder="1" applyAlignment="1" applyProtection="1">
      <alignment horizontal="right" vertical="center" wrapText="1"/>
      <protection/>
    </xf>
    <xf numFmtId="177" fontId="11" fillId="48" borderId="13" xfId="0" applyNumberFormat="1" applyFont="1" applyFill="1" applyBorder="1" applyAlignment="1" applyProtection="1">
      <alignment horizontal="right" vertical="center" wrapText="1"/>
      <protection/>
    </xf>
    <xf numFmtId="0" fontId="11" fillId="48" borderId="24" xfId="0" applyFont="1" applyFill="1" applyBorder="1" applyAlignment="1" applyProtection="1" quotePrefix="1">
      <alignment horizontal="left" vertical="center" wrapText="1"/>
      <protection/>
    </xf>
    <xf numFmtId="177" fontId="11" fillId="48" borderId="34" xfId="0" applyNumberFormat="1" applyFont="1" applyFill="1" applyBorder="1" applyAlignment="1" applyProtection="1">
      <alignment horizontal="right" vertical="center" wrapText="1"/>
      <protection/>
    </xf>
    <xf numFmtId="177" fontId="11" fillId="48" borderId="35" xfId="0" applyNumberFormat="1" applyFont="1" applyFill="1" applyBorder="1" applyAlignment="1" applyProtection="1">
      <alignment horizontal="right" vertical="center" wrapText="1"/>
      <protection/>
    </xf>
    <xf numFmtId="177" fontId="11" fillId="48" borderId="65" xfId="0" applyNumberFormat="1" applyFont="1" applyFill="1" applyBorder="1" applyAlignment="1" applyProtection="1">
      <alignment horizontal="right" vertical="center" wrapText="1"/>
      <protection/>
    </xf>
    <xf numFmtId="3" fontId="11" fillId="48" borderId="20" xfId="0" applyNumberFormat="1" applyFont="1" applyFill="1" applyBorder="1" applyAlignment="1" applyProtection="1">
      <alignment horizontal="right" vertical="center"/>
      <protection/>
    </xf>
    <xf numFmtId="3" fontId="11" fillId="48" borderId="22" xfId="0" applyNumberFormat="1" applyFont="1" applyFill="1" applyBorder="1" applyAlignment="1" applyProtection="1">
      <alignment horizontal="right" vertical="center"/>
      <protection/>
    </xf>
    <xf numFmtId="3" fontId="11" fillId="48" borderId="23" xfId="0" applyNumberFormat="1" applyFont="1" applyFill="1" applyBorder="1" applyAlignment="1" applyProtection="1">
      <alignment horizontal="right" vertical="center"/>
      <protection/>
    </xf>
    <xf numFmtId="3" fontId="11" fillId="48" borderId="47" xfId="0" applyNumberFormat="1" applyFont="1" applyFill="1" applyBorder="1" applyAlignment="1" applyProtection="1">
      <alignment horizontal="right" vertical="center"/>
      <protection/>
    </xf>
    <xf numFmtId="3" fontId="11" fillId="48" borderId="70" xfId="0" applyNumberFormat="1" applyFont="1" applyFill="1" applyBorder="1" applyAlignment="1" applyProtection="1">
      <alignment horizontal="right" vertical="center"/>
      <protection/>
    </xf>
    <xf numFmtId="3" fontId="10" fillId="48" borderId="16" xfId="0" applyNumberFormat="1" applyFont="1" applyFill="1" applyBorder="1" applyAlignment="1" applyProtection="1">
      <alignment horizontal="right" vertical="center"/>
      <protection/>
    </xf>
    <xf numFmtId="3" fontId="11" fillId="48" borderId="37" xfId="0" applyNumberFormat="1" applyFont="1" applyFill="1" applyBorder="1" applyAlignment="1" applyProtection="1">
      <alignment horizontal="right" vertical="center"/>
      <protection/>
    </xf>
    <xf numFmtId="3" fontId="11" fillId="48" borderId="11" xfId="0" applyNumberFormat="1" applyFont="1" applyFill="1" applyBorder="1" applyAlignment="1" applyProtection="1">
      <alignment horizontal="right" vertical="center"/>
      <protection/>
    </xf>
    <xf numFmtId="0" fontId="0" fillId="48" borderId="15" xfId="0" applyFill="1" applyBorder="1" applyAlignment="1" applyProtection="1">
      <alignment horizontal="center" vertical="center"/>
      <protection/>
    </xf>
    <xf numFmtId="177" fontId="11" fillId="48" borderId="29" xfId="0" applyNumberFormat="1" applyFont="1" applyFill="1" applyBorder="1" applyAlignment="1" applyProtection="1">
      <alignment horizontal="right" vertical="center"/>
      <protection/>
    </xf>
    <xf numFmtId="177" fontId="11" fillId="48" borderId="30" xfId="0" applyNumberFormat="1" applyFont="1" applyFill="1" applyBorder="1" applyAlignment="1" applyProtection="1">
      <alignment horizontal="right" vertical="center"/>
      <protection/>
    </xf>
    <xf numFmtId="177" fontId="11" fillId="48" borderId="31" xfId="0" applyNumberFormat="1" applyFont="1" applyFill="1" applyBorder="1" applyAlignment="1" applyProtection="1">
      <alignment horizontal="right" vertical="center"/>
      <protection/>
    </xf>
    <xf numFmtId="177" fontId="11" fillId="48" borderId="12" xfId="0" applyNumberFormat="1" applyFont="1" applyFill="1" applyBorder="1" applyAlignment="1" applyProtection="1">
      <alignment horizontal="right" vertical="center"/>
      <protection/>
    </xf>
    <xf numFmtId="177" fontId="11" fillId="48" borderId="10" xfId="0" applyNumberFormat="1" applyFont="1" applyFill="1" applyBorder="1" applyAlignment="1" applyProtection="1">
      <alignment horizontal="right" vertical="center"/>
      <protection/>
    </xf>
    <xf numFmtId="177" fontId="11" fillId="48" borderId="13" xfId="0" applyNumberFormat="1" applyFont="1" applyFill="1" applyBorder="1" applyAlignment="1" applyProtection="1">
      <alignment horizontal="right" vertical="center"/>
      <protection/>
    </xf>
    <xf numFmtId="177" fontId="11" fillId="48" borderId="34" xfId="0" applyNumberFormat="1" applyFont="1" applyFill="1" applyBorder="1" applyAlignment="1" applyProtection="1">
      <alignment horizontal="right" vertical="center"/>
      <protection/>
    </xf>
    <xf numFmtId="177" fontId="11" fillId="48" borderId="35" xfId="0" applyNumberFormat="1" applyFont="1" applyFill="1" applyBorder="1" applyAlignment="1" applyProtection="1">
      <alignment horizontal="right" vertical="center"/>
      <protection/>
    </xf>
    <xf numFmtId="177" fontId="11" fillId="48" borderId="65" xfId="0" applyNumberFormat="1" applyFont="1" applyFill="1" applyBorder="1" applyAlignment="1" applyProtection="1">
      <alignment horizontal="right" vertical="center"/>
      <protection/>
    </xf>
    <xf numFmtId="0" fontId="2" fillId="45" borderId="10" xfId="0" applyFont="1" applyFill="1" applyBorder="1" applyAlignment="1" applyProtection="1">
      <alignment horizontal="left" vertical="center"/>
      <protection locked="0"/>
    </xf>
    <xf numFmtId="0" fontId="9" fillId="45" borderId="26" xfId="0" applyFont="1" applyFill="1" applyBorder="1" applyAlignment="1" applyProtection="1">
      <alignment horizontal="center" vertical="center"/>
      <protection locked="0"/>
    </xf>
    <xf numFmtId="0" fontId="9" fillId="45" borderId="27" xfId="0" applyFont="1" applyFill="1" applyBorder="1" applyAlignment="1" applyProtection="1">
      <alignment horizontal="center" vertical="center"/>
      <protection locked="0"/>
    </xf>
    <xf numFmtId="0" fontId="9" fillId="45" borderId="28" xfId="0" applyFont="1" applyFill="1" applyBorder="1" applyAlignment="1" applyProtection="1">
      <alignment horizontal="center" vertical="center"/>
      <protection locked="0"/>
    </xf>
    <xf numFmtId="3" fontId="11" fillId="45" borderId="40" xfId="0" applyNumberFormat="1" applyFont="1" applyFill="1" applyBorder="1" applyAlignment="1" applyProtection="1">
      <alignment horizontal="right" vertical="center" wrapText="1"/>
      <protection locked="0"/>
    </xf>
    <xf numFmtId="3" fontId="11" fillId="45" borderId="30" xfId="0" applyNumberFormat="1" applyFont="1" applyFill="1" applyBorder="1" applyAlignment="1" applyProtection="1">
      <alignment horizontal="right" vertical="center" wrapText="1"/>
      <protection locked="0"/>
    </xf>
    <xf numFmtId="3" fontId="11" fillId="45" borderId="38" xfId="0" applyNumberFormat="1" applyFont="1" applyFill="1" applyBorder="1" applyAlignment="1" applyProtection="1">
      <alignment horizontal="right" vertical="center" wrapText="1"/>
      <protection locked="0"/>
    </xf>
    <xf numFmtId="3" fontId="11" fillId="45" borderId="32" xfId="0" applyNumberFormat="1" applyFont="1" applyFill="1" applyBorder="1" applyAlignment="1" applyProtection="1">
      <alignment horizontal="right" vertical="center" wrapText="1"/>
      <protection locked="0"/>
    </xf>
    <xf numFmtId="3" fontId="11" fillId="45" borderId="41" xfId="0" applyNumberFormat="1" applyFont="1" applyFill="1" applyBorder="1" applyAlignment="1" applyProtection="1">
      <alignment horizontal="right" vertical="center" wrapText="1"/>
      <protection locked="0"/>
    </xf>
    <xf numFmtId="3" fontId="11" fillId="45" borderId="42" xfId="0" applyNumberFormat="1" applyFont="1" applyFill="1" applyBorder="1" applyAlignment="1" applyProtection="1">
      <alignment horizontal="right" vertical="center" wrapText="1"/>
      <protection locked="0"/>
    </xf>
    <xf numFmtId="3" fontId="11" fillId="45" borderId="43" xfId="0" applyNumberFormat="1" applyFont="1" applyFill="1" applyBorder="1" applyAlignment="1" applyProtection="1">
      <alignment horizontal="right" vertical="center" wrapText="1"/>
      <protection locked="0"/>
    </xf>
    <xf numFmtId="3" fontId="11" fillId="45" borderId="44" xfId="0" applyNumberFormat="1" applyFont="1" applyFill="1" applyBorder="1" applyAlignment="1" applyProtection="1">
      <alignment horizontal="right" vertical="center" wrapText="1"/>
      <protection locked="0"/>
    </xf>
    <xf numFmtId="177" fontId="10" fillId="47" borderId="23" xfId="0" applyNumberFormat="1" applyFont="1" applyFill="1" applyBorder="1" applyAlignment="1" applyProtection="1">
      <alignment horizontal="center" vertical="center" wrapText="1"/>
      <protection/>
    </xf>
    <xf numFmtId="177" fontId="10" fillId="46" borderId="23" xfId="0" applyNumberFormat="1" applyFont="1" applyFill="1" applyBorder="1" applyAlignment="1" applyProtection="1">
      <alignment horizontal="center" vertical="center" wrapText="1"/>
      <protection/>
    </xf>
    <xf numFmtId="177" fontId="10" fillId="46" borderId="44" xfId="0" applyNumberFormat="1" applyFont="1" applyFill="1" applyBorder="1" applyAlignment="1" applyProtection="1">
      <alignment horizontal="right" vertical="center" wrapText="1"/>
      <protection/>
    </xf>
    <xf numFmtId="6" fontId="10" fillId="46" borderId="36" xfId="0" applyNumberFormat="1" applyFont="1" applyFill="1" applyBorder="1" applyAlignment="1" applyProtection="1">
      <alignment horizontal="right" vertical="center" wrapText="1"/>
      <protection/>
    </xf>
    <xf numFmtId="177" fontId="11" fillId="45" borderId="38" xfId="0" applyNumberFormat="1" applyFont="1" applyFill="1" applyBorder="1" applyAlignment="1" applyProtection="1">
      <alignment horizontal="right" vertical="center" wrapText="1"/>
      <protection locked="0"/>
    </xf>
    <xf numFmtId="177" fontId="11" fillId="45" borderId="30" xfId="0" applyNumberFormat="1" applyFont="1" applyFill="1" applyBorder="1" applyAlignment="1" applyProtection="1">
      <alignment horizontal="right" vertical="center" wrapText="1"/>
      <protection locked="0"/>
    </xf>
    <xf numFmtId="177" fontId="11" fillId="45" borderId="32" xfId="0" applyNumberFormat="1" applyFont="1" applyFill="1" applyBorder="1" applyAlignment="1" applyProtection="1">
      <alignment horizontal="right" vertical="center" wrapText="1"/>
      <protection locked="0"/>
    </xf>
    <xf numFmtId="177" fontId="11" fillId="45" borderId="27" xfId="0" applyNumberFormat="1" applyFont="1" applyFill="1" applyBorder="1" applyAlignment="1" applyProtection="1">
      <alignment horizontal="right" vertical="center" wrapText="1"/>
      <protection locked="0"/>
    </xf>
    <xf numFmtId="177" fontId="11" fillId="45" borderId="10" xfId="0" applyNumberFormat="1" applyFont="1" applyFill="1" applyBorder="1" applyAlignment="1" applyProtection="1">
      <alignment horizontal="right" vertical="center" wrapText="1"/>
      <protection locked="0"/>
    </xf>
    <xf numFmtId="177" fontId="11" fillId="45" borderId="13" xfId="0" applyNumberFormat="1" applyFont="1" applyFill="1" applyBorder="1" applyAlignment="1" applyProtection="1">
      <alignment horizontal="right" vertical="center" wrapText="1"/>
      <protection locked="0"/>
    </xf>
    <xf numFmtId="177" fontId="11" fillId="45" borderId="33" xfId="0" applyNumberFormat="1" applyFont="1" applyFill="1" applyBorder="1" applyAlignment="1" applyProtection="1">
      <alignment horizontal="right" vertical="center" wrapText="1"/>
      <protection locked="0"/>
    </xf>
    <xf numFmtId="9" fontId="11" fillId="45" borderId="38" xfId="0" applyNumberFormat="1" applyFont="1" applyFill="1" applyBorder="1" applyAlignment="1" applyProtection="1">
      <alignment horizontal="right" vertical="center" wrapText="1"/>
      <protection locked="0"/>
    </xf>
    <xf numFmtId="9" fontId="11" fillId="45" borderId="30" xfId="0" applyNumberFormat="1" applyFont="1" applyFill="1" applyBorder="1" applyAlignment="1" applyProtection="1">
      <alignment horizontal="right" vertical="center" wrapText="1"/>
      <protection locked="0"/>
    </xf>
    <xf numFmtId="9" fontId="11" fillId="45" borderId="32" xfId="0" applyNumberFormat="1" applyFont="1" applyFill="1" applyBorder="1" applyAlignment="1" applyProtection="1">
      <alignment horizontal="right" vertical="center" wrapText="1"/>
      <protection locked="0"/>
    </xf>
    <xf numFmtId="6" fontId="11" fillId="45" borderId="38" xfId="0" applyNumberFormat="1" applyFont="1" applyFill="1" applyBorder="1" applyAlignment="1" applyProtection="1">
      <alignment horizontal="right" vertical="center" wrapText="1"/>
      <protection locked="0"/>
    </xf>
    <xf numFmtId="6" fontId="11" fillId="45" borderId="30" xfId="0" applyNumberFormat="1" applyFont="1" applyFill="1" applyBorder="1" applyAlignment="1" applyProtection="1">
      <alignment horizontal="right" vertical="center" wrapText="1"/>
      <protection locked="0"/>
    </xf>
    <xf numFmtId="6" fontId="11" fillId="45" borderId="32" xfId="0" applyNumberFormat="1" applyFont="1" applyFill="1" applyBorder="1" applyAlignment="1" applyProtection="1">
      <alignment horizontal="right" vertical="center" wrapText="1"/>
      <protection locked="0"/>
    </xf>
    <xf numFmtId="177" fontId="10" fillId="45" borderId="41" xfId="0" applyNumberFormat="1" applyFont="1" applyFill="1" applyBorder="1" applyAlignment="1" applyProtection="1">
      <alignment horizontal="right" vertical="center" wrapText="1"/>
      <protection locked="0"/>
    </xf>
    <xf numFmtId="177" fontId="10" fillId="45" borderId="35" xfId="0" applyNumberFormat="1" applyFont="1" applyFill="1" applyBorder="1" applyAlignment="1" applyProtection="1">
      <alignment horizontal="right" vertical="center" wrapText="1"/>
      <protection locked="0"/>
    </xf>
    <xf numFmtId="177" fontId="10" fillId="45" borderId="44" xfId="0" applyNumberFormat="1" applyFont="1" applyFill="1" applyBorder="1" applyAlignment="1" applyProtection="1">
      <alignment horizontal="right" vertical="center" wrapText="1"/>
      <protection locked="0"/>
    </xf>
    <xf numFmtId="177" fontId="10" fillId="44" borderId="10" xfId="0" applyNumberFormat="1" applyFont="1" applyFill="1" applyBorder="1" applyAlignment="1" applyProtection="1">
      <alignment horizontal="center" vertical="center" wrapText="1"/>
      <protection/>
    </xf>
    <xf numFmtId="177" fontId="10" fillId="44" borderId="23" xfId="0" applyNumberFormat="1" applyFont="1" applyFill="1" applyBorder="1" applyAlignment="1" applyProtection="1">
      <alignment horizontal="center" vertical="center" wrapText="1"/>
      <protection/>
    </xf>
    <xf numFmtId="177" fontId="11" fillId="44" borderId="32" xfId="0" applyNumberFormat="1" applyFont="1" applyFill="1" applyBorder="1" applyAlignment="1" applyProtection="1">
      <alignment horizontal="right" vertical="center" wrapText="1"/>
      <protection/>
    </xf>
    <xf numFmtId="177" fontId="11" fillId="46" borderId="51" xfId="0" applyNumberFormat="1" applyFont="1" applyFill="1" applyBorder="1" applyAlignment="1" applyProtection="1">
      <alignment horizontal="right" vertical="center" wrapText="1"/>
      <protection/>
    </xf>
    <xf numFmtId="177" fontId="11" fillId="46" borderId="19" xfId="0" applyNumberFormat="1" applyFont="1" applyFill="1" applyBorder="1" applyAlignment="1" applyProtection="1">
      <alignment horizontal="right" vertical="center" wrapText="1"/>
      <protection/>
    </xf>
    <xf numFmtId="177" fontId="10" fillId="47" borderId="53" xfId="0" applyNumberFormat="1" applyFont="1" applyFill="1" applyBorder="1" applyAlignment="1" applyProtection="1">
      <alignment horizontal="center" vertical="center" wrapText="1"/>
      <protection/>
    </xf>
    <xf numFmtId="177" fontId="10" fillId="47" borderId="54" xfId="0" applyNumberFormat="1" applyFont="1" applyFill="1" applyBorder="1" applyAlignment="1" applyProtection="1">
      <alignment horizontal="center" vertical="center" wrapText="1"/>
      <protection/>
    </xf>
    <xf numFmtId="177" fontId="10" fillId="47" borderId="55" xfId="0" applyNumberFormat="1" applyFont="1" applyFill="1" applyBorder="1" applyAlignment="1" applyProtection="1">
      <alignment horizontal="center" vertical="center" wrapText="1"/>
      <protection/>
    </xf>
    <xf numFmtId="177" fontId="10" fillId="47" borderId="23" xfId="0" applyNumberFormat="1" applyFont="1" applyFill="1" applyBorder="1" applyAlignment="1" applyProtection="1">
      <alignment horizontal="right" vertical="center" wrapText="1"/>
      <protection/>
    </xf>
    <xf numFmtId="9" fontId="11" fillId="45" borderId="40" xfId="0" applyNumberFormat="1" applyFont="1" applyFill="1" applyBorder="1" applyAlignment="1" applyProtection="1">
      <alignment horizontal="right" vertical="center" wrapText="1"/>
      <protection locked="0"/>
    </xf>
    <xf numFmtId="0" fontId="0" fillId="47" borderId="15" xfId="0" applyFill="1" applyBorder="1" applyAlignment="1">
      <alignment/>
    </xf>
    <xf numFmtId="0" fontId="0" fillId="47" borderId="24" xfId="0" applyFill="1" applyBorder="1" applyAlignment="1">
      <alignment/>
    </xf>
    <xf numFmtId="177" fontId="10" fillId="48" borderId="51" xfId="0" applyNumberFormat="1" applyFont="1" applyFill="1" applyBorder="1" applyAlignment="1" applyProtection="1">
      <alignment horizontal="right" vertical="center" wrapText="1"/>
      <protection/>
    </xf>
    <xf numFmtId="177" fontId="10" fillId="48" borderId="33" xfId="0" applyNumberFormat="1" applyFont="1" applyFill="1" applyBorder="1" applyAlignment="1" applyProtection="1">
      <alignment horizontal="right" vertical="center" wrapText="1"/>
      <protection/>
    </xf>
    <xf numFmtId="177" fontId="11" fillId="48" borderId="33" xfId="0" applyNumberFormat="1" applyFont="1" applyFill="1" applyBorder="1" applyAlignment="1" applyProtection="1">
      <alignment horizontal="right" vertical="center" wrapText="1"/>
      <protection/>
    </xf>
    <xf numFmtId="9" fontId="10" fillId="45" borderId="48" xfId="59" applyFont="1" applyFill="1" applyBorder="1" applyAlignment="1" applyProtection="1">
      <alignment horizontal="right" vertical="center" wrapText="1"/>
      <protection locked="0"/>
    </xf>
    <xf numFmtId="9" fontId="10" fillId="45" borderId="10" xfId="59" applyFont="1" applyFill="1" applyBorder="1" applyAlignment="1" applyProtection="1">
      <alignment horizontal="right" vertical="center" wrapText="1"/>
      <protection locked="0"/>
    </xf>
    <xf numFmtId="9" fontId="10" fillId="45" borderId="27" xfId="59" applyFont="1" applyFill="1" applyBorder="1" applyAlignment="1" applyProtection="1">
      <alignment horizontal="right" vertical="center" wrapText="1"/>
      <protection locked="0"/>
    </xf>
    <xf numFmtId="9" fontId="10" fillId="45" borderId="33" xfId="59" applyFont="1" applyFill="1" applyBorder="1" applyAlignment="1" applyProtection="1">
      <alignment horizontal="right" vertical="center" wrapText="1"/>
      <protection locked="0"/>
    </xf>
    <xf numFmtId="177" fontId="10" fillId="47" borderId="33" xfId="0" applyNumberFormat="1" applyFont="1" applyFill="1" applyBorder="1" applyAlignment="1" applyProtection="1">
      <alignment horizontal="right" vertical="center" wrapText="1"/>
      <protection/>
    </xf>
    <xf numFmtId="0" fontId="11" fillId="45" borderId="68" xfId="0" applyFont="1" applyFill="1" applyBorder="1" applyAlignment="1" applyProtection="1">
      <alignment horizontal="left" vertical="center" wrapText="1"/>
      <protection locked="0"/>
    </xf>
    <xf numFmtId="0" fontId="11" fillId="45" borderId="90" xfId="0" applyFont="1" applyFill="1" applyBorder="1" applyAlignment="1" applyProtection="1" quotePrefix="1">
      <alignment horizontal="left" vertical="center" wrapText="1"/>
      <protection locked="0"/>
    </xf>
    <xf numFmtId="0" fontId="11" fillId="45" borderId="60" xfId="0" applyFont="1" applyFill="1" applyBorder="1" applyAlignment="1" applyProtection="1">
      <alignment horizontal="right" vertical="center"/>
      <protection locked="0"/>
    </xf>
    <xf numFmtId="0" fontId="11" fillId="45" borderId="18" xfId="0" applyFont="1" applyFill="1" applyBorder="1" applyAlignment="1" applyProtection="1">
      <alignment horizontal="right" vertical="center"/>
      <protection locked="0"/>
    </xf>
    <xf numFmtId="3" fontId="11" fillId="45" borderId="90" xfId="0" applyNumberFormat="1" applyFont="1" applyFill="1" applyBorder="1" applyAlignment="1" applyProtection="1">
      <alignment horizontal="right" vertical="center"/>
      <protection locked="0"/>
    </xf>
    <xf numFmtId="0" fontId="11" fillId="45" borderId="90" xfId="0" applyFont="1" applyFill="1" applyBorder="1" applyAlignment="1" applyProtection="1">
      <alignment horizontal="left" vertical="center" wrapText="1"/>
      <protection locked="0"/>
    </xf>
    <xf numFmtId="3" fontId="11" fillId="48" borderId="90" xfId="0" applyNumberFormat="1" applyFont="1" applyFill="1" applyBorder="1" applyAlignment="1" applyProtection="1">
      <alignment horizontal="right" vertical="center"/>
      <protection/>
    </xf>
    <xf numFmtId="0" fontId="10" fillId="47" borderId="10" xfId="0" applyFont="1" applyFill="1" applyBorder="1" applyAlignment="1" applyProtection="1">
      <alignment horizontal="right" vertical="center"/>
      <protection/>
    </xf>
    <xf numFmtId="0" fontId="0" fillId="47" borderId="10" xfId="0" applyFill="1" applyBorder="1" applyAlignment="1" applyProtection="1">
      <alignment horizontal="right" vertical="center"/>
      <protection/>
    </xf>
    <xf numFmtId="0" fontId="0" fillId="47" borderId="26" xfId="0" applyFill="1" applyBorder="1" applyAlignment="1" applyProtection="1">
      <alignment horizontal="right" vertical="center"/>
      <protection/>
    </xf>
    <xf numFmtId="177" fontId="11" fillId="47" borderId="34" xfId="0" applyNumberFormat="1" applyFont="1" applyFill="1" applyBorder="1" applyAlignment="1" applyProtection="1">
      <alignment horizontal="right" vertical="center"/>
      <protection/>
    </xf>
    <xf numFmtId="177" fontId="11" fillId="47" borderId="35" xfId="0" applyNumberFormat="1" applyFont="1" applyFill="1" applyBorder="1" applyAlignment="1" applyProtection="1">
      <alignment horizontal="right" vertical="center"/>
      <protection/>
    </xf>
    <xf numFmtId="177" fontId="11" fillId="47" borderId="52" xfId="0" applyNumberFormat="1" applyFont="1" applyFill="1" applyBorder="1" applyAlignment="1" applyProtection="1">
      <alignment horizontal="right" vertical="center"/>
      <protection/>
    </xf>
    <xf numFmtId="0" fontId="2" fillId="47" borderId="26" xfId="0" applyFont="1" applyFill="1" applyBorder="1" applyAlignment="1" applyProtection="1">
      <alignment horizontal="center" vertical="center"/>
      <protection/>
    </xf>
    <xf numFmtId="0" fontId="2" fillId="47" borderId="28" xfId="0" applyFont="1" applyFill="1" applyBorder="1" applyAlignment="1" applyProtection="1">
      <alignment horizontal="center"/>
      <protection/>
    </xf>
    <xf numFmtId="0" fontId="54" fillId="0" borderId="0" xfId="0" applyFont="1" applyAlignment="1">
      <alignment vertical="center"/>
    </xf>
    <xf numFmtId="0" fontId="75" fillId="0" borderId="0" xfId="0" applyFont="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2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2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22"/>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FCEDB"/>
      <rgbColor rgb="00FF99CC"/>
      <rgbColor rgb="00EE8800"/>
      <rgbColor rgb="00FFCC99"/>
      <rgbColor rgb="003366FF"/>
      <rgbColor rgb="0033CCCC"/>
      <rgbColor rgb="00C2BF42"/>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161925</xdr:rowOff>
    </xdr:from>
    <xdr:to>
      <xdr:col>1</xdr:col>
      <xdr:colOff>6086475</xdr:colOff>
      <xdr:row>38</xdr:row>
      <xdr:rowOff>161925</xdr:rowOff>
    </xdr:to>
    <xdr:sp>
      <xdr:nvSpPr>
        <xdr:cNvPr id="1" name="Text Box 1"/>
        <xdr:cNvSpPr txBox="1">
          <a:spLocks noChangeArrowheads="1"/>
        </xdr:cNvSpPr>
      </xdr:nvSpPr>
      <xdr:spPr>
        <a:xfrm>
          <a:off x="714375" y="781050"/>
          <a:ext cx="5981700" cy="5724525"/>
        </a:xfrm>
        <a:prstGeom prst="rect">
          <a:avLst/>
        </a:prstGeom>
        <a:solidFill>
          <a:srgbClr val="40C1BB"/>
        </a:solidFill>
        <a:ln w="9525" cmpd="sng">
          <a:solidFill>
            <a:srgbClr val="000000"/>
          </a:solidFill>
          <a:headEnd type="none"/>
          <a:tailEnd type="none"/>
        </a:ln>
      </xdr:spPr>
      <xdr:txBody>
        <a:bodyPr vertOverflow="clip" wrap="square" lIns="108000" tIns="108000" rIns="108000" bIns="108000"/>
        <a:p>
          <a:pPr algn="l">
            <a:defRPr/>
          </a:pPr>
          <a:r>
            <a:rPr lang="en-US" cap="none" sz="1400" b="1" i="0" u="none" baseline="0">
              <a:solidFill>
                <a:srgbClr val="000000"/>
              </a:solidFill>
              <a:latin typeface="Arial"/>
              <a:ea typeface="Arial"/>
              <a:cs typeface="Arial"/>
            </a:rPr>
            <a:t>General instructions for the Total Fund Deposit worksheet</a:t>
          </a:r>
          <a:r>
            <a:rPr lang="en-US" cap="none" sz="1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Only fill in yellow boxes. To add extra rows click on the appropriate box – 'Add row for management action cost' or 'Add row for other recurring cost'.
</a:t>
          </a:r>
          <a:r>
            <a:rPr lang="en-US" cap="none" sz="6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Management action costs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need to fill in details for all the management actions for your biobank site. List each action on a separate row. You may need to split actions into different phases or tasks that appear on different rows. Any phases or tasks that have different start and end dates, different frequencies, or different annual costs should be listed separately.
</a:t>
          </a:r>
          <a:r>
            <a:rPr lang="en-US" cap="none" sz="6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Other recurring costs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Your annual reporting fee, which can be paid directly to BCT from the Fund, is already filled in for you. Add all other recurring costs that will apply to your biobank site. 
</a:t>
          </a:r>
          <a:r>
            <a:rPr lang="en-US" cap="none" sz="6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Entering your details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spreadsheet is based on a 20-year cycle. After you have completed the timing and cost details, the costs for the first 20 years are automatically calculated and shown. Calculations for the years after that are shown as a total or the 'present value of payments after 20 years'  (second last column).
</a:t>
          </a:r>
          <a:r>
            <a:rPr lang="en-US" cap="none" sz="1100" b="0" i="1" u="none" baseline="0">
              <a:solidFill>
                <a:srgbClr val="000000"/>
              </a:solidFill>
              <a:latin typeface="Arial"/>
              <a:ea typeface="Arial"/>
              <a:cs typeface="Arial"/>
            </a:rPr>
            <a:t>Description</a:t>
          </a:r>
          <a:r>
            <a:rPr lang="en-US" cap="none" sz="1100" b="0" i="0" u="none" baseline="0">
              <a:solidFill>
                <a:srgbClr val="000000"/>
              </a:solidFill>
              <a:latin typeface="Arial"/>
              <a:ea typeface="Arial"/>
              <a:cs typeface="Arial"/>
            </a:rPr>
            <a:t> – enter a few words that describe the cost
</a:t>
          </a:r>
          <a:r>
            <a:rPr lang="en-US" cap="none" sz="1100" b="0" i="1" u="none" baseline="0">
              <a:solidFill>
                <a:srgbClr val="000000"/>
              </a:solidFill>
              <a:latin typeface="Arial"/>
              <a:ea typeface="Arial"/>
              <a:cs typeface="Arial"/>
            </a:rPr>
            <a:t>Start year </a:t>
          </a:r>
          <a:r>
            <a:rPr lang="en-US" cap="none" sz="1100" b="0" i="0" u="none" baseline="0">
              <a:solidFill>
                <a:srgbClr val="000000"/>
              </a:solidFill>
              <a:latin typeface="Arial"/>
              <a:ea typeface="Arial"/>
              <a:cs typeface="Arial"/>
            </a:rPr>
            <a:t>– enter the year in which the management action will start (after 80% of the Total Fund Deposit is met); must be between 1 and 20 
</a:t>
          </a:r>
          <a:r>
            <a:rPr lang="en-US" cap="none" sz="1100" b="0" i="1" u="none" baseline="0">
              <a:solidFill>
                <a:srgbClr val="000000"/>
              </a:solidFill>
              <a:latin typeface="Arial"/>
              <a:ea typeface="Arial"/>
              <a:cs typeface="Arial"/>
            </a:rPr>
            <a:t>End yea</a:t>
          </a:r>
          <a:r>
            <a:rPr lang="en-US" cap="none" sz="1100" b="0" i="0" u="none" baseline="0">
              <a:solidFill>
                <a:srgbClr val="000000"/>
              </a:solidFill>
              <a:latin typeface="Arial"/>
              <a:ea typeface="Arial"/>
              <a:cs typeface="Arial"/>
            </a:rPr>
            <a:t>r – enter the year in which the management action will cease (after 80% of the Total Fund Deposit has been met); must be between 1 and 20 and be after the start year
</a:t>
          </a:r>
          <a:r>
            <a:rPr lang="en-US" cap="none" sz="1100" b="0" i="1" u="none" baseline="0">
              <a:solidFill>
                <a:srgbClr val="000000"/>
              </a:solidFill>
              <a:latin typeface="Arial"/>
              <a:ea typeface="Arial"/>
              <a:cs typeface="Arial"/>
            </a:rPr>
            <a:t>Ongoing frequency</a:t>
          </a:r>
          <a:r>
            <a:rPr lang="en-US" cap="none" sz="1100" b="0" i="0" u="none" baseline="0">
              <a:solidFill>
                <a:srgbClr val="000000"/>
              </a:solidFill>
              <a:latin typeface="Arial"/>
              <a:ea typeface="Arial"/>
              <a:cs typeface="Arial"/>
            </a:rPr>
            <a:t> – state how often the action will recur (must be 20 or less), for example, if every year enter '1', if every three years enter '3'
</a:t>
          </a:r>
          <a:r>
            <a:rPr lang="en-US" cap="none" sz="1100" b="0" i="1" u="none" baseline="0">
              <a:solidFill>
                <a:srgbClr val="000000"/>
              </a:solidFill>
              <a:latin typeface="Arial"/>
              <a:ea typeface="Arial"/>
              <a:cs typeface="Arial"/>
            </a:rPr>
            <a:t>Estimated annual cost </a:t>
          </a:r>
          <a:r>
            <a:rPr lang="en-US" cap="none" sz="1100" b="0" i="0" u="none" baseline="0">
              <a:solidFill>
                <a:srgbClr val="000000"/>
              </a:solidFill>
              <a:latin typeface="Arial"/>
              <a:ea typeface="Arial"/>
              <a:cs typeface="Arial"/>
            </a:rPr>
            <a:t> – enter your estimate for the cost of each task for one year; all entries should be at current costs as the spreadsheet automatically factors in inflation through the formula for converting current costs to present values.</a:t>
          </a:r>
        </a:p>
      </xdr:txBody>
    </xdr:sp>
    <xdr:clientData/>
  </xdr:twoCellAnchor>
  <xdr:twoCellAnchor>
    <xdr:from>
      <xdr:col>2</xdr:col>
      <xdr:colOff>9525</xdr:colOff>
      <xdr:row>3</xdr:row>
      <xdr:rowOff>152400</xdr:rowOff>
    </xdr:from>
    <xdr:to>
      <xdr:col>10</xdr:col>
      <xdr:colOff>9525</xdr:colOff>
      <xdr:row>38</xdr:row>
      <xdr:rowOff>152400</xdr:rowOff>
    </xdr:to>
    <xdr:sp>
      <xdr:nvSpPr>
        <xdr:cNvPr id="2" name="Text Box 4"/>
        <xdr:cNvSpPr txBox="1">
          <a:spLocks noChangeArrowheads="1"/>
        </xdr:cNvSpPr>
      </xdr:nvSpPr>
      <xdr:spPr>
        <a:xfrm>
          <a:off x="6715125" y="771525"/>
          <a:ext cx="7210425" cy="5724525"/>
        </a:xfrm>
        <a:prstGeom prst="rect">
          <a:avLst/>
        </a:prstGeom>
        <a:solidFill>
          <a:srgbClr val="E7E6E6">
            <a:alpha val="50000"/>
          </a:srgbClr>
        </a:solidFill>
        <a:ln w="9525" cmpd="sng">
          <a:solidFill>
            <a:srgbClr val="000000"/>
          </a:solidFill>
          <a:headEnd type="none"/>
          <a:tailEnd type="none"/>
        </a:ln>
      </xdr:spPr>
      <xdr:txBody>
        <a:bodyPr vertOverflow="clip" wrap="square" lIns="108000" tIns="108000" rIns="108000" bIns="108000"/>
        <a:p>
          <a:pPr algn="l">
            <a:defRPr/>
          </a:pPr>
          <a:r>
            <a:rPr lang="en-US" cap="none" sz="1400" b="1" i="0" u="none" baseline="0">
              <a:solidFill>
                <a:srgbClr val="000000"/>
              </a:solidFill>
              <a:latin typeface="Arial"/>
              <a:ea typeface="Arial"/>
              <a:cs typeface="Arial"/>
            </a:rPr>
            <a:t>A worked example</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worked example is provided below to further explain how this spreadsheet should be used. Monetary amounts and frequency of management actions are intended as an example only, they should not be used as a guide to real costs or frequencies.  
</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site is 200 hectares in moderate–good condition. It  has been assessed by an accredited assessor who calculated that 450 biodiversity credits would be created. The landowner has received professional advice regarding the management actions that should be undertaken on the site.biobank
</a:t>
          </a:r>
          <a:r>
            <a:rPr lang="en-US" cap="none" sz="6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Management actions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Weed control and vertebrate pest control on this site have two phases each – 'intensive' and 'ongoing'. The intensive phase begins in Year 1 and ends in Year 5 with management actions carried out in each of those years. The ongoing phase begins in Year 6 and continues every year in perpetuity. If you scan across the columns you will see how the amounts are allocated to each year. If ongoing weed management or pest control was only required every second year, then '2' would have been entered for the ongoing frequency rather than '1'.
</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There is a need to have an ecological burn on this biobank site every 10 years to mainatin or improve the ecoloogical health of particular vegetation types. This is shown in Year 10 and Year 20. Every four years fire break and track maintenance will be undertaken starting in Year 4.
</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Fencing needs to be erected on the site and then maintained in perpetuity. Fencing is entered on two rows to allow for the two different activities – erection of the fence and maintenance of the fence. The erection of the fence begins and ends in Year 1 as this will only occur once. Maintenance is expected to be undertaken every three years but not starting until Year 5.
</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There is no need for erosion control, nutrient control, replanting, or the management of grazing and human disturbance on this site. These are some of standard management actions that apply to most sites. If these management actions are required on your site they would also have to be included in this part of the spreadsheet.
</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Costs should include both materials and labour. Even though the landowner plans to undertake most of the management actions, the costs have been based on a contractor doing them. This ensures the landowner, or a future owner, will always be able to manage the biodiversity values on the biobank site even if they are incapacitated or no longer want to do the management actions themselves.</a:t>
          </a:r>
        </a:p>
      </xdr:txBody>
    </xdr:sp>
    <xdr:clientData/>
  </xdr:twoCellAnchor>
  <xdr:twoCellAnchor>
    <xdr:from>
      <xdr:col>7</xdr:col>
      <xdr:colOff>742950</xdr:colOff>
      <xdr:row>92</xdr:row>
      <xdr:rowOff>161925</xdr:rowOff>
    </xdr:from>
    <xdr:to>
      <xdr:col>15</xdr:col>
      <xdr:colOff>0</xdr:colOff>
      <xdr:row>138</xdr:row>
      <xdr:rowOff>47625</xdr:rowOff>
    </xdr:to>
    <xdr:sp>
      <xdr:nvSpPr>
        <xdr:cNvPr id="3" name="Text Box 6"/>
        <xdr:cNvSpPr txBox="1">
          <a:spLocks noChangeArrowheads="1"/>
        </xdr:cNvSpPr>
      </xdr:nvSpPr>
      <xdr:spPr>
        <a:xfrm>
          <a:off x="12115800" y="18288000"/>
          <a:ext cx="6038850" cy="13211175"/>
        </a:xfrm>
        <a:prstGeom prst="rect">
          <a:avLst/>
        </a:prstGeom>
        <a:solidFill>
          <a:srgbClr val="E7E6E6">
            <a:alpha val="50000"/>
          </a:srgbClr>
        </a:solidFill>
        <a:ln w="9525" cmpd="sng">
          <a:solidFill>
            <a:srgbClr val="000000"/>
          </a:solidFill>
          <a:headEnd type="none"/>
          <a:tailEnd type="none"/>
        </a:ln>
      </xdr:spPr>
      <xdr:txBody>
        <a:bodyPr vertOverflow="clip" wrap="square" lIns="108000" tIns="108000" rIns="108000" bIns="108000"/>
        <a:p>
          <a:pPr algn="l">
            <a:defRPr/>
          </a:pPr>
          <a:r>
            <a:rPr lang="en-US" cap="none" sz="1400" b="1" i="0" u="none" baseline="0">
              <a:solidFill>
                <a:srgbClr val="000000"/>
              </a:solidFill>
              <a:latin typeface="Arial"/>
              <a:ea typeface="Arial"/>
              <a:cs typeface="Arial"/>
            </a:rPr>
            <a:t>General instructions for the Credit Pricing worksheet and the worked example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Credit Pricing worksheet allows you to assess the impact of Part B costs on the price of your credits. There is space for five different scenarios to be trialled. This worksheet is not published on the public register – it is simply an aid for you to determine what price you would like for your credits. You can include whatever costs you would like to recover but you should be aware of the effect on your credit price and the competitiveness of your credits in the market.
</a:t>
          </a:r>
          <a:r>
            <a:rPr lang="en-US" cap="none" sz="6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Part B costs</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Costs of establishing a site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These are costs incurred when establishing your site. The cost of the BCT application fee is automatically included in this section. Any costs incurred in preparing your expression of interest (if you lodged one) and your full site assessment by an accredited assessor should be included here. If other consultants were used to prepare and/or cost management actions, they should also be included here. Other costs could include legal and taxation advice sought before establishing your site. 
</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Ongoing recurrring costs for the years between establishing your site and selling enough credits to satisfy 80% of the Total Fund Deposit (the threshold for starting to get your annual payments from the Trust Fund) can also be included. Similarly, if you have borrowed money to undertake your assessment and gain professional advice, you may want to include the interest paid in this section.
</a:t>
          </a:r>
          <a:r>
            <a:rPr lang="en-US" cap="none" sz="6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Opportunity cost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It is up to you, whether or not you include an opportunity cost in your credit pricing calculations. The opportunity cost takes into account the fact that you can no longer use your site for other purposes (unless permitted to do so in your agreement). It is based on your land value. You can choose to include the full market value of your land or a percentage of the value. If you have purchased the land specifically to establish a site you may also want to include the cost of the stamp duty on the purchase.
</a:t>
          </a:r>
          <a:r>
            <a:rPr lang="en-US" cap="none" sz="6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Part A costs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Part A costs are calculated through the Total Fund Deposit worksheet of this spreadsheet. They are automatically transferred to the Credit Pricing worksheet to the right of the scenario entries.  You need to type in the Trust Fund Deposit amount for each of the scenarios you are trialling.
</a:t>
          </a:r>
          <a:r>
            <a:rPr lang="en-US" cap="none" sz="6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Profit or risk margin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profit or risk margin is applied to the total of all Part A and Part B costs. You may decide to include a small risk margin to factor in any unexpected occurrences, underestimated costs of management actions or in case you can't sell all of your credits. You can also factor in a  profit margin. However, if the profit or risk margin is too high, your credits may not be competitive.
</a:t>
          </a:r>
          <a:r>
            <a:rPr lang="en-US" cap="none" sz="6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Example scenarios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Four example scenarios have been provided to demonstrate the effect of different variables on your credit price. The Part A costs and the costs of entering into the agreement remain constant in all scenarios. The variables in this example are the opportunity cost, the profit or risk margin, and the proportion of credits likely to be sold. The property has a market value of $2 million based on a per hectare value of $10,000.
</a:t>
          </a:r>
          <a:r>
            <a:rPr lang="en-US" cap="none" sz="6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Scenario 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landowner wants to include the full value of the land and a profit or risk margin of 10%. It is expected that all credits will be sold.
</a:t>
          </a:r>
          <a:r>
            <a:rPr lang="en-US" cap="none" sz="1100" b="1" i="0" u="none" baseline="0">
              <a:solidFill>
                <a:srgbClr val="000000"/>
              </a:solidFill>
              <a:latin typeface="Arial"/>
              <a:ea typeface="Arial"/>
              <a:cs typeface="Arial"/>
            </a:rPr>
            <a:t>Scenario 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landowner wants to include 50% of the value of the land and a profit or risk margin of 10%. They assume 100% of credits will be sold.
</a:t>
          </a:r>
          <a:r>
            <a:rPr lang="en-US" cap="none" sz="1100" b="1" i="0" u="none" baseline="0">
              <a:solidFill>
                <a:srgbClr val="000000"/>
              </a:solidFill>
              <a:latin typeface="Arial"/>
              <a:ea typeface="Arial"/>
              <a:cs typeface="Arial"/>
            </a:rPr>
            <a:t>Scenario 3</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landowner does not want to include the value of the land in their credit price calculations – they simply want to receive payments that will cover their management costs. To ensure the management costs are always covered they want to include a risk margin of 20% and assume only 75% of credits are sold.
</a:t>
          </a:r>
          <a:r>
            <a:rPr lang="en-US" cap="none" sz="1100" b="1" i="0" u="none" baseline="0">
              <a:solidFill>
                <a:srgbClr val="000000"/>
              </a:solidFill>
              <a:latin typeface="Arial"/>
              <a:ea typeface="Arial"/>
              <a:cs typeface="Arial"/>
            </a:rPr>
            <a:t>Scenario 4</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landowner does not want to include the value of the land in their credit price calculations but wants a 10% profit or risk margin. They are being very conservative and assume only 50% of their credits will be sold.
</a:t>
          </a:r>
          <a:r>
            <a:rPr lang="en-US" cap="none" sz="1100" b="1" i="0" u="none" baseline="0">
              <a:solidFill>
                <a:srgbClr val="000000"/>
              </a:solidFill>
              <a:latin typeface="Arial"/>
              <a:ea typeface="Arial"/>
              <a:cs typeface="Arial"/>
            </a:rPr>
            <a:t>Scenario 5</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landowner does not want to include the value of the land in their credit price calculations and does not want to include a profit or risk margin. They assume 100% of their credits will be sold.
</a:t>
          </a:r>
        </a:p>
      </xdr:txBody>
    </xdr:sp>
    <xdr:clientData/>
  </xdr:twoCellAnchor>
  <xdr:twoCellAnchor>
    <xdr:from>
      <xdr:col>10</xdr:col>
      <xdr:colOff>552450</xdr:colOff>
      <xdr:row>3</xdr:row>
      <xdr:rowOff>152400</xdr:rowOff>
    </xdr:from>
    <xdr:to>
      <xdr:col>14</xdr:col>
      <xdr:colOff>133350</xdr:colOff>
      <xdr:row>38</xdr:row>
      <xdr:rowOff>152400</xdr:rowOff>
    </xdr:to>
    <xdr:sp>
      <xdr:nvSpPr>
        <xdr:cNvPr id="4" name="Text Box 17"/>
        <xdr:cNvSpPr txBox="1">
          <a:spLocks noChangeArrowheads="1"/>
        </xdr:cNvSpPr>
      </xdr:nvSpPr>
      <xdr:spPr>
        <a:xfrm>
          <a:off x="14468475" y="771525"/>
          <a:ext cx="2971800" cy="5724525"/>
        </a:xfrm>
        <a:prstGeom prst="rect">
          <a:avLst/>
        </a:prstGeom>
        <a:solidFill>
          <a:srgbClr val="E7E6E6">
            <a:alpha val="50000"/>
          </a:srgbClr>
        </a:solidFill>
        <a:ln w="9525" cmpd="sng">
          <a:solidFill>
            <a:srgbClr val="000000"/>
          </a:solidFill>
          <a:headEnd type="none"/>
          <a:tailEnd type="none"/>
        </a:ln>
      </xdr:spPr>
      <xdr:txBody>
        <a:bodyPr vertOverflow="clip" wrap="square" lIns="108000" tIns="108000" rIns="108000" bIns="108000"/>
        <a:p>
          <a:pPr algn="l">
            <a:defRPr/>
          </a:pPr>
          <a:r>
            <a:rPr lang="en-US" cap="none" sz="1100" b="1" i="0" u="none" baseline="0">
              <a:solidFill>
                <a:srgbClr val="000000"/>
              </a:solidFill>
              <a:latin typeface="Arial"/>
              <a:ea typeface="Arial"/>
              <a:cs typeface="Arial"/>
            </a:rPr>
            <a:t>Other recurring costs
</a:t>
          </a:r>
          <a:r>
            <a:rPr lang="en-US" cap="none" sz="1100" b="0" i="0" u="none" baseline="0">
              <a:solidFill>
                <a:srgbClr val="000000"/>
              </a:solidFill>
              <a:latin typeface="Arial"/>
              <a:ea typeface="Arial"/>
              <a:cs typeface="Arial"/>
            </a:rPr>
            <a:t>The landowner has other recurring costs for insurance, rates, business management and reporting. The landowner is planning on doing the reporting and business management themselves but has included the cost of a third party undertaking these tasks in case they cannot do them in the future. All costs are annual costs.
</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annual fee that must be paid to BCT for monitoring and complance is automatically included in the spreadsheet. The cost of undertaking monitoring and preparing the annual report is accounted for on a separate row. Rates include council rates and Local Land Services rates. Insurance covers the cost of replacing fences if there is a natural disaster or malicious damage by a third party. The business management or administration costs take into account the time needed to organise all of the management 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4171950</xdr:colOff>
      <xdr:row>12</xdr:row>
      <xdr:rowOff>9525</xdr:rowOff>
    </xdr:from>
    <xdr:to>
      <xdr:col>1</xdr:col>
      <xdr:colOff>5153025</xdr:colOff>
      <xdr:row>15</xdr:row>
      <xdr:rowOff>9525</xdr:rowOff>
    </xdr:to>
    <xdr:sp macro="[0]!AddRecommended">
      <xdr:nvSpPr>
        <xdr:cNvPr id="1" name="Rectangle 127"/>
        <xdr:cNvSpPr>
          <a:spLocks/>
        </xdr:cNvSpPr>
      </xdr:nvSpPr>
      <xdr:spPr>
        <a:xfrm>
          <a:off x="4781550" y="3209925"/>
          <a:ext cx="981075" cy="885825"/>
        </a:xfrm>
        <a:prstGeom prst="rect">
          <a:avLst/>
        </a:prstGeom>
        <a:solidFill>
          <a:srgbClr val="FF7F2F"/>
        </a:solidFill>
        <a:ln w="38100" cmpd="sng">
          <a:solidFill>
            <a:srgbClr val="000000"/>
          </a:solidFill>
          <a:headEnd type="none"/>
          <a:tailEnd type="none"/>
        </a:ln>
      </xdr:spPr>
      <xdr:txBody>
        <a:bodyPr vertOverflow="clip" wrap="square" lIns="27432" tIns="22860" rIns="27432" bIns="22860" anchor="ctr"/>
        <a:p>
          <a:pPr algn="ctr">
            <a:defRPr/>
          </a:pPr>
          <a:r>
            <a:rPr lang="en-US" cap="none" sz="1400" b="0" i="0" u="none" baseline="0">
              <a:solidFill>
                <a:srgbClr val="000000"/>
              </a:solidFill>
              <a:latin typeface="Arial"/>
              <a:ea typeface="Arial"/>
              <a:cs typeface="Arial"/>
            </a:rPr>
            <a:t>Add row for</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other recurring cost</a:t>
          </a:r>
        </a:p>
      </xdr:txBody>
    </xdr:sp>
    <xdr:clientData/>
  </xdr:twoCellAnchor>
  <xdr:twoCellAnchor>
    <xdr:from>
      <xdr:col>1</xdr:col>
      <xdr:colOff>495300</xdr:colOff>
      <xdr:row>12</xdr:row>
      <xdr:rowOff>9525</xdr:rowOff>
    </xdr:from>
    <xdr:to>
      <xdr:col>1</xdr:col>
      <xdr:colOff>3295650</xdr:colOff>
      <xdr:row>15</xdr:row>
      <xdr:rowOff>9525</xdr:rowOff>
    </xdr:to>
    <xdr:sp macro="[0]!AddMandatory">
      <xdr:nvSpPr>
        <xdr:cNvPr id="2" name="Rectangle 128"/>
        <xdr:cNvSpPr>
          <a:spLocks/>
        </xdr:cNvSpPr>
      </xdr:nvSpPr>
      <xdr:spPr>
        <a:xfrm>
          <a:off x="1104900" y="3209925"/>
          <a:ext cx="2800350" cy="885825"/>
        </a:xfrm>
        <a:prstGeom prst="rect">
          <a:avLst/>
        </a:prstGeom>
        <a:solidFill>
          <a:srgbClr val="FF7F2F"/>
        </a:solidFill>
        <a:ln w="38100" cmpd="sng">
          <a:solidFill>
            <a:srgbClr val="000000"/>
          </a:solidFill>
          <a:headEnd type="none"/>
          <a:tailEnd type="none"/>
        </a:ln>
      </xdr:spPr>
      <xdr:txBody>
        <a:bodyPr vertOverflow="clip" wrap="square" lIns="27432" tIns="22860" rIns="27432" bIns="22860" anchor="ctr"/>
        <a:p>
          <a:pPr algn="ctr">
            <a:defRPr/>
          </a:pPr>
          <a:r>
            <a:rPr lang="en-US" cap="none" sz="1400" b="0" i="0" u="none" baseline="0">
              <a:solidFill>
                <a:srgbClr val="000000"/>
              </a:solidFill>
              <a:latin typeface="Arial"/>
              <a:ea typeface="Arial"/>
              <a:cs typeface="Arial"/>
            </a:rPr>
            <a:t>Add row for</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management action cost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3:C12"/>
  <sheetViews>
    <sheetView zoomScalePageLayoutView="0" workbookViewId="0" topLeftCell="A1">
      <selection activeCell="C19" sqref="C19"/>
    </sheetView>
  </sheetViews>
  <sheetFormatPr defaultColWidth="9.140625" defaultRowHeight="12.75"/>
  <sheetData>
    <row r="3" ht="12">
      <c r="B3" t="s">
        <v>95</v>
      </c>
    </row>
    <row r="5" ht="12">
      <c r="B5" t="s">
        <v>96</v>
      </c>
    </row>
    <row r="7" ht="12">
      <c r="C7" t="s">
        <v>99</v>
      </c>
    </row>
    <row r="8" ht="12">
      <c r="C8" t="s">
        <v>97</v>
      </c>
    </row>
    <row r="9" ht="12">
      <c r="C9" t="s">
        <v>98</v>
      </c>
    </row>
    <row r="10" ht="12">
      <c r="C10" t="s">
        <v>102</v>
      </c>
    </row>
    <row r="11" ht="12">
      <c r="C11" t="s">
        <v>100</v>
      </c>
    </row>
    <row r="12" ht="12">
      <c r="C12" t="s">
        <v>101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dimension ref="A2:AC138"/>
  <sheetViews>
    <sheetView showGridLines="0" tabSelected="1" zoomScale="75" zoomScaleNormal="75" zoomScalePageLayoutView="0" workbookViewId="0" topLeftCell="A1">
      <selection activeCell="C2" sqref="C2"/>
    </sheetView>
  </sheetViews>
  <sheetFormatPr defaultColWidth="9.140625" defaultRowHeight="12.75"/>
  <cols>
    <col min="1" max="1" width="9.140625" style="11" customWidth="1"/>
    <col min="2" max="2" width="91.421875" style="11" customWidth="1"/>
    <col min="3" max="5" width="14.140625" style="11" customWidth="1"/>
    <col min="6" max="6" width="14.8515625" style="11" customWidth="1"/>
    <col min="7" max="26" width="12.7109375" style="11" customWidth="1"/>
    <col min="27" max="27" width="29.28125" style="11" customWidth="1"/>
    <col min="28" max="28" width="26.00390625" style="11" customWidth="1"/>
    <col min="29" max="29" width="28.421875" style="11" customWidth="1"/>
    <col min="30" max="16384" width="9.140625" style="11" customWidth="1"/>
  </cols>
  <sheetData>
    <row r="1" ht="12.75"/>
    <row r="2" spans="2:3" ht="23.25">
      <c r="B2" s="8" t="s">
        <v>269</v>
      </c>
      <c r="C2" s="881" t="s">
        <v>270</v>
      </c>
    </row>
    <row r="3" ht="12.75"/>
    <row r="4" ht="12.75">
      <c r="B4" s="417"/>
    </row>
    <row r="5" ht="12.75"/>
    <row r="6" ht="15">
      <c r="B6" s="386"/>
    </row>
    <row r="7" ht="12.75">
      <c r="B7" s="487"/>
    </row>
    <row r="8" ht="12.75">
      <c r="B8" s="488"/>
    </row>
    <row r="9" ht="15">
      <c r="B9" s="386"/>
    </row>
    <row r="10" ht="12.75">
      <c r="B10" s="271"/>
    </row>
    <row r="11" ht="12.75">
      <c r="B11" s="271"/>
    </row>
    <row r="12" ht="12.75">
      <c r="B12" s="418"/>
    </row>
    <row r="13" ht="12.75">
      <c r="B13" s="271"/>
    </row>
    <row r="14" spans="2:8" ht="12.75">
      <c r="B14" s="387"/>
      <c r="C14" s="89"/>
      <c r="D14" s="89"/>
      <c r="E14" s="89"/>
      <c r="F14" s="89"/>
      <c r="G14" s="89"/>
      <c r="H14" s="89"/>
    </row>
    <row r="15" spans="2:8" ht="12.75">
      <c r="B15" s="387"/>
      <c r="C15" s="89"/>
      <c r="D15" s="89"/>
      <c r="E15" s="89"/>
      <c r="F15" s="89"/>
      <c r="G15" s="89"/>
      <c r="H15" s="89"/>
    </row>
    <row r="16" spans="2:8" ht="12.75">
      <c r="B16" s="89"/>
      <c r="C16" s="89"/>
      <c r="D16" s="89"/>
      <c r="E16" s="89"/>
      <c r="F16" s="89"/>
      <c r="G16" s="89"/>
      <c r="H16" s="89"/>
    </row>
    <row r="17" spans="2:8" ht="12.75">
      <c r="B17" s="89"/>
      <c r="C17" s="89"/>
      <c r="D17" s="89"/>
      <c r="E17" s="89"/>
      <c r="F17" s="89"/>
      <c r="G17" s="89"/>
      <c r="H17" s="89"/>
    </row>
    <row r="18" spans="2:8" ht="12.75">
      <c r="B18" s="89"/>
      <c r="C18" s="89"/>
      <c r="D18" s="89"/>
      <c r="E18" s="89"/>
      <c r="F18" s="89"/>
      <c r="G18" s="89"/>
      <c r="H18" s="89"/>
    </row>
    <row r="19" spans="2:8" ht="12.75">
      <c r="B19" s="89"/>
      <c r="C19" s="89"/>
      <c r="D19" s="89"/>
      <c r="E19" s="89"/>
      <c r="F19" s="89"/>
      <c r="G19" s="89"/>
      <c r="H19" s="89"/>
    </row>
    <row r="20" ht="12.75">
      <c r="B20" s="271"/>
    </row>
    <row r="21" ht="12.75">
      <c r="B21" s="418"/>
    </row>
    <row r="22" ht="12.75">
      <c r="B22" s="271"/>
    </row>
    <row r="23" ht="12.75">
      <c r="B23" s="271"/>
    </row>
    <row r="24" ht="12.75">
      <c r="B24" s="271"/>
    </row>
    <row r="25" ht="12.75">
      <c r="B25" s="271"/>
    </row>
    <row r="26" ht="12.75">
      <c r="B26" s="271"/>
    </row>
    <row r="27" ht="12.75">
      <c r="B27" s="271"/>
    </row>
    <row r="28" ht="12.75">
      <c r="B28" s="271"/>
    </row>
    <row r="29" ht="12.75">
      <c r="B29" s="271"/>
    </row>
    <row r="30" ht="12.75">
      <c r="B30" s="271"/>
    </row>
    <row r="31" ht="12.75">
      <c r="B31" s="271"/>
    </row>
    <row r="32" ht="12.75">
      <c r="B32" s="418"/>
    </row>
    <row r="33" ht="12.75">
      <c r="B33" s="271"/>
    </row>
    <row r="34" ht="12.75">
      <c r="B34" s="419"/>
    </row>
    <row r="35" ht="12.75">
      <c r="B35" s="324"/>
    </row>
    <row r="36" ht="12.75">
      <c r="B36" s="324"/>
    </row>
    <row r="37" ht="12.75">
      <c r="B37" s="271"/>
    </row>
    <row r="38" ht="12.75"/>
    <row r="39" ht="12.75"/>
    <row r="40" ht="12.75"/>
    <row r="41" ht="12.75"/>
    <row r="42" spans="2:29" ht="23.25">
      <c r="B42" s="8" t="s">
        <v>221</v>
      </c>
      <c r="C42" s="9"/>
      <c r="D42" s="9"/>
      <c r="E42" s="9"/>
      <c r="F42" s="10"/>
      <c r="G42" s="10"/>
      <c r="H42" s="10"/>
      <c r="I42" s="10"/>
      <c r="J42" s="10"/>
      <c r="K42" s="10"/>
      <c r="L42" s="9"/>
      <c r="M42" s="9"/>
      <c r="N42" s="9"/>
      <c r="O42" s="9"/>
      <c r="P42" s="9"/>
      <c r="Q42" s="9"/>
      <c r="R42" s="9"/>
      <c r="S42" s="9"/>
      <c r="T42" s="9"/>
      <c r="U42" s="9"/>
      <c r="V42" s="9"/>
      <c r="W42" s="9"/>
      <c r="X42" s="9"/>
      <c r="Y42" s="9"/>
      <c r="Z42" s="9"/>
      <c r="AA42" s="10"/>
      <c r="AB42" s="10"/>
      <c r="AC42" s="10"/>
    </row>
    <row r="43" spans="2:29" ht="12.75">
      <c r="B43" s="9"/>
      <c r="E43" s="12"/>
      <c r="F43" s="13"/>
      <c r="G43" s="9"/>
      <c r="H43" s="9"/>
      <c r="I43" s="9"/>
      <c r="J43" s="9"/>
      <c r="K43" s="9"/>
      <c r="L43" s="9"/>
      <c r="M43" s="9"/>
      <c r="N43" s="9"/>
      <c r="O43" s="9"/>
      <c r="P43" s="9"/>
      <c r="Q43" s="9"/>
      <c r="R43" s="9"/>
      <c r="S43" s="9"/>
      <c r="T43" s="9"/>
      <c r="U43" s="9"/>
      <c r="V43" s="9"/>
      <c r="W43" s="9"/>
      <c r="X43" s="9"/>
      <c r="Y43" s="9"/>
      <c r="Z43" s="9"/>
      <c r="AA43" s="10"/>
      <c r="AB43" s="10"/>
      <c r="AC43" s="10"/>
    </row>
    <row r="44" spans="5:29" ht="12.75">
      <c r="E44" s="15"/>
      <c r="F44" s="16"/>
      <c r="G44" s="9"/>
      <c r="H44" s="9"/>
      <c r="I44" s="9"/>
      <c r="J44" s="9"/>
      <c r="K44" s="9"/>
      <c r="L44" s="9"/>
      <c r="M44" s="9"/>
      <c r="N44" s="9"/>
      <c r="O44" s="83"/>
      <c r="P44" s="83"/>
      <c r="Q44" s="83"/>
      <c r="R44" s="83"/>
      <c r="S44" s="83"/>
      <c r="T44" s="83"/>
      <c r="U44" s="83"/>
      <c r="V44" s="83"/>
      <c r="W44" s="83"/>
      <c r="X44" s="83"/>
      <c r="Y44" s="83"/>
      <c r="Z44" s="83"/>
      <c r="AA44" s="9"/>
      <c r="AB44" s="9"/>
      <c r="AC44" s="9"/>
    </row>
    <row r="45" spans="2:29" ht="19.5" customHeight="1">
      <c r="B45" s="382" t="s">
        <v>252</v>
      </c>
      <c r="C45" s="668" t="s">
        <v>224</v>
      </c>
      <c r="D45" s="668"/>
      <c r="E45" s="668"/>
      <c r="F45" s="19"/>
      <c r="G45" s="9"/>
      <c r="H45" s="9"/>
      <c r="I45" s="9"/>
      <c r="J45" s="270"/>
      <c r="K45" s="270"/>
      <c r="L45" s="9"/>
      <c r="M45" s="9"/>
      <c r="N45" s="9"/>
      <c r="O45" s="83"/>
      <c r="P45" s="83"/>
      <c r="Q45" s="83"/>
      <c r="R45" s="83"/>
      <c r="S45" s="83"/>
      <c r="T45" s="83"/>
      <c r="U45" s="83"/>
      <c r="V45" s="324"/>
      <c r="W45" s="324"/>
      <c r="X45" s="83"/>
      <c r="Y45" s="489"/>
      <c r="Z45" s="83"/>
      <c r="AA45" s="10"/>
      <c r="AB45" s="10"/>
      <c r="AC45" s="10"/>
    </row>
    <row r="46" spans="2:29" ht="19.5" customHeight="1">
      <c r="B46" s="382" t="s">
        <v>253</v>
      </c>
      <c r="C46" s="668" t="s">
        <v>251</v>
      </c>
      <c r="D46" s="668"/>
      <c r="E46" s="668"/>
      <c r="F46" s="19"/>
      <c r="G46" s="9"/>
      <c r="H46" s="9"/>
      <c r="I46" s="9"/>
      <c r="J46" s="9"/>
      <c r="K46" s="9"/>
      <c r="L46" s="9"/>
      <c r="M46" s="9"/>
      <c r="N46" s="9"/>
      <c r="O46" s="83"/>
      <c r="P46" s="83"/>
      <c r="Q46" s="83"/>
      <c r="R46" s="83"/>
      <c r="S46" s="83"/>
      <c r="T46" s="83"/>
      <c r="U46" s="83"/>
      <c r="V46" s="324"/>
      <c r="W46" s="324"/>
      <c r="X46" s="83"/>
      <c r="Y46" s="489"/>
      <c r="Z46" s="83"/>
      <c r="AA46" s="10"/>
      <c r="AB46" s="10"/>
      <c r="AC46" s="10"/>
    </row>
    <row r="47" spans="2:29" ht="19.5" customHeight="1">
      <c r="B47" s="382" t="s">
        <v>107</v>
      </c>
      <c r="C47" s="669" t="s">
        <v>104</v>
      </c>
      <c r="D47" s="670"/>
      <c r="E47" s="671"/>
      <c r="F47" s="19"/>
      <c r="G47" s="9"/>
      <c r="H47" s="9"/>
      <c r="I47" s="9"/>
      <c r="J47" s="9"/>
      <c r="K47" s="9"/>
      <c r="L47" s="9"/>
      <c r="M47" s="9"/>
      <c r="N47" s="9"/>
      <c r="O47" s="502"/>
      <c r="P47" s="502"/>
      <c r="Q47" s="502"/>
      <c r="R47" s="502"/>
      <c r="S47" s="502"/>
      <c r="T47" s="502"/>
      <c r="U47" s="502"/>
      <c r="V47" s="502"/>
      <c r="W47" s="502"/>
      <c r="X47" s="502"/>
      <c r="Y47" s="290"/>
      <c r="Z47" s="83"/>
      <c r="AA47" s="10"/>
      <c r="AB47" s="10"/>
      <c r="AC47" s="10"/>
    </row>
    <row r="48" spans="2:29" ht="19.5" customHeight="1">
      <c r="B48" s="382" t="s">
        <v>175</v>
      </c>
      <c r="C48" s="668" t="s">
        <v>225</v>
      </c>
      <c r="D48" s="668"/>
      <c r="E48" s="668"/>
      <c r="F48" s="19"/>
      <c r="G48" s="9"/>
      <c r="H48" s="20"/>
      <c r="I48" s="9"/>
      <c r="J48" s="9"/>
      <c r="K48" s="9"/>
      <c r="L48" s="9"/>
      <c r="M48" s="9"/>
      <c r="N48" s="9"/>
      <c r="O48" s="503"/>
      <c r="P48" s="503"/>
      <c r="Q48" s="503"/>
      <c r="R48" s="503"/>
      <c r="S48" s="503"/>
      <c r="T48" s="503"/>
      <c r="U48" s="503"/>
      <c r="V48" s="503"/>
      <c r="W48" s="503"/>
      <c r="X48" s="503"/>
      <c r="Y48" s="83"/>
      <c r="Z48" s="83"/>
      <c r="AA48" s="10"/>
      <c r="AB48" s="10"/>
      <c r="AC48" s="10"/>
    </row>
    <row r="49" spans="2:29" ht="19.5" customHeight="1">
      <c r="B49" s="382" t="s">
        <v>254</v>
      </c>
      <c r="C49" s="501"/>
      <c r="D49" s="501"/>
      <c r="E49" s="501"/>
      <c r="F49" s="19"/>
      <c r="G49" s="9"/>
      <c r="H49" s="20"/>
      <c r="I49" s="9"/>
      <c r="J49" s="9"/>
      <c r="K49" s="9"/>
      <c r="L49" s="9"/>
      <c r="M49" s="9"/>
      <c r="N49" s="9"/>
      <c r="O49" s="49"/>
      <c r="P49" s="49"/>
      <c r="Q49" s="49"/>
      <c r="R49" s="49"/>
      <c r="S49" s="49"/>
      <c r="T49" s="49"/>
      <c r="U49" s="49"/>
      <c r="V49" s="325"/>
      <c r="W49" s="325"/>
      <c r="X49" s="49"/>
      <c r="Y49" s="83"/>
      <c r="Z49" s="83"/>
      <c r="AA49" s="10"/>
      <c r="AB49" s="10"/>
      <c r="AC49" s="10"/>
    </row>
    <row r="50" spans="2:29" ht="19.5" customHeight="1">
      <c r="B50" s="382" t="s">
        <v>255</v>
      </c>
      <c r="C50" s="501"/>
      <c r="D50" s="501"/>
      <c r="E50" s="501"/>
      <c r="F50" s="9"/>
      <c r="G50" s="9"/>
      <c r="H50" s="9"/>
      <c r="I50" s="9"/>
      <c r="J50" s="9"/>
      <c r="K50" s="9"/>
      <c r="O50" s="502"/>
      <c r="P50" s="503"/>
      <c r="Q50" s="503"/>
      <c r="R50" s="503"/>
      <c r="S50" s="503"/>
      <c r="T50" s="503"/>
      <c r="U50" s="503"/>
      <c r="V50" s="503"/>
      <c r="W50" s="503"/>
      <c r="X50" s="503"/>
      <c r="Y50" s="290"/>
      <c r="Z50" s="83"/>
      <c r="AA50" s="10"/>
      <c r="AB50" s="10"/>
      <c r="AC50" s="10"/>
    </row>
    <row r="51" spans="2:29" ht="15.75">
      <c r="B51" s="275"/>
      <c r="C51" s="276"/>
      <c r="D51" s="276"/>
      <c r="E51" s="276"/>
      <c r="F51" s="9"/>
      <c r="G51" s="9"/>
      <c r="H51" s="9"/>
      <c r="I51" s="9"/>
      <c r="J51" s="9"/>
      <c r="K51" s="9"/>
      <c r="O51" s="502"/>
      <c r="P51" s="503"/>
      <c r="Q51" s="503"/>
      <c r="R51" s="503"/>
      <c r="S51" s="503"/>
      <c r="T51" s="503"/>
      <c r="U51" s="503"/>
      <c r="V51" s="503"/>
      <c r="W51" s="503"/>
      <c r="X51" s="503"/>
      <c r="Y51" s="290"/>
      <c r="Z51" s="83"/>
      <c r="AA51" s="10"/>
      <c r="AB51" s="10"/>
      <c r="AC51" s="10"/>
    </row>
    <row r="52" spans="2:29" ht="15.75">
      <c r="B52" s="275"/>
      <c r="C52" s="276"/>
      <c r="D52" s="276"/>
      <c r="E52" s="276"/>
      <c r="F52" s="9"/>
      <c r="G52" s="504" t="s">
        <v>42</v>
      </c>
      <c r="H52" s="505"/>
      <c r="I52" s="9"/>
      <c r="J52" s="9"/>
      <c r="K52" s="9"/>
      <c r="O52" s="503"/>
      <c r="P52" s="503"/>
      <c r="Q52" s="503"/>
      <c r="R52" s="503"/>
      <c r="S52" s="503"/>
      <c r="T52" s="503"/>
      <c r="U52" s="503"/>
      <c r="V52" s="503"/>
      <c r="W52" s="503"/>
      <c r="X52" s="503"/>
      <c r="Y52" s="290"/>
      <c r="Z52" s="83"/>
      <c r="AA52" s="10"/>
      <c r="AB52" s="10"/>
      <c r="AC52" s="10"/>
    </row>
    <row r="53" spans="2:29" ht="15.75">
      <c r="B53" s="275"/>
      <c r="C53" s="276"/>
      <c r="D53" s="276"/>
      <c r="E53" s="276"/>
      <c r="F53" s="9"/>
      <c r="G53" s="509">
        <v>0.032</v>
      </c>
      <c r="H53" s="510"/>
      <c r="I53" s="9"/>
      <c r="J53" s="9"/>
      <c r="K53" s="9"/>
      <c r="O53" s="503"/>
      <c r="P53" s="503"/>
      <c r="Q53" s="503"/>
      <c r="R53" s="503"/>
      <c r="S53" s="503"/>
      <c r="T53" s="503"/>
      <c r="U53" s="503"/>
      <c r="V53" s="503"/>
      <c r="W53" s="503"/>
      <c r="X53" s="503"/>
      <c r="Y53" s="290"/>
      <c r="Z53" s="83"/>
      <c r="AA53" s="10"/>
      <c r="AB53" s="10"/>
      <c r="AC53" s="10"/>
    </row>
    <row r="54" spans="2:29" ht="15.75">
      <c r="B54" s="275"/>
      <c r="C54" s="276"/>
      <c r="D54" s="276"/>
      <c r="E54" s="276"/>
      <c r="F54" s="9"/>
      <c r="G54" s="9"/>
      <c r="H54" s="9"/>
      <c r="I54" s="9"/>
      <c r="J54" s="9"/>
      <c r="K54" s="9"/>
      <c r="L54" s="194"/>
      <c r="M54" s="194"/>
      <c r="N54" s="194"/>
      <c r="O54" s="83"/>
      <c r="P54" s="83"/>
      <c r="Q54" s="83"/>
      <c r="R54" s="83"/>
      <c r="S54" s="83"/>
      <c r="T54" s="83"/>
      <c r="U54" s="83"/>
      <c r="V54" s="83"/>
      <c r="W54" s="83"/>
      <c r="X54" s="83"/>
      <c r="Y54" s="83"/>
      <c r="Z54" s="83"/>
      <c r="AA54" s="10"/>
      <c r="AB54" s="10"/>
      <c r="AC54" s="10"/>
    </row>
    <row r="55" spans="5:29" ht="12.75" thickBot="1">
      <c r="E55" s="9"/>
      <c r="F55" s="19"/>
      <c r="G55" s="9"/>
      <c r="H55" s="9"/>
      <c r="I55" s="9"/>
      <c r="J55" s="9"/>
      <c r="K55" s="9"/>
      <c r="L55" s="9"/>
      <c r="M55" s="9"/>
      <c r="N55" s="9"/>
      <c r="O55" s="9"/>
      <c r="P55" s="9"/>
      <c r="Q55" s="9"/>
      <c r="R55" s="9"/>
      <c r="S55" s="9"/>
      <c r="T55" s="9"/>
      <c r="U55" s="9"/>
      <c r="V55" s="10"/>
      <c r="W55" s="10"/>
      <c r="X55" s="10"/>
      <c r="Y55" s="10"/>
      <c r="Z55" s="10"/>
      <c r="AA55" s="10"/>
      <c r="AB55" s="10"/>
      <c r="AC55" s="10"/>
    </row>
    <row r="56" spans="2:29" ht="28.5" customHeight="1">
      <c r="B56" s="665" t="s">
        <v>176</v>
      </c>
      <c r="C56" s="513" t="s">
        <v>43</v>
      </c>
      <c r="D56" s="514"/>
      <c r="E56" s="514"/>
      <c r="F56" s="515" t="s">
        <v>171</v>
      </c>
      <c r="G56" s="517" t="s">
        <v>57</v>
      </c>
      <c r="H56" s="518"/>
      <c r="I56" s="518"/>
      <c r="J56" s="518"/>
      <c r="K56" s="518"/>
      <c r="L56" s="518"/>
      <c r="M56" s="518"/>
      <c r="N56" s="518"/>
      <c r="O56" s="518"/>
      <c r="P56" s="518"/>
      <c r="Q56" s="518"/>
      <c r="R56" s="518"/>
      <c r="S56" s="518"/>
      <c r="T56" s="518"/>
      <c r="U56" s="518"/>
      <c r="V56" s="518"/>
      <c r="W56" s="518"/>
      <c r="X56" s="518"/>
      <c r="Y56" s="518"/>
      <c r="Z56" s="519"/>
      <c r="AA56" s="515" t="s">
        <v>180</v>
      </c>
      <c r="AB56" s="515" t="s">
        <v>130</v>
      </c>
      <c r="AC56" s="515" t="s">
        <v>129</v>
      </c>
    </row>
    <row r="57" spans="2:29" ht="30.75" customHeight="1" thickBot="1">
      <c r="B57" s="666"/>
      <c r="C57" s="265" t="s">
        <v>164</v>
      </c>
      <c r="D57" s="266" t="s">
        <v>165</v>
      </c>
      <c r="E57" s="283" t="s">
        <v>205</v>
      </c>
      <c r="F57" s="516"/>
      <c r="G57" s="267">
        <v>1</v>
      </c>
      <c r="H57" s="268">
        <v>2</v>
      </c>
      <c r="I57" s="268">
        <v>3</v>
      </c>
      <c r="J57" s="268">
        <v>4</v>
      </c>
      <c r="K57" s="268">
        <v>5</v>
      </c>
      <c r="L57" s="268">
        <v>6</v>
      </c>
      <c r="M57" s="268">
        <v>7</v>
      </c>
      <c r="N57" s="268">
        <v>8</v>
      </c>
      <c r="O57" s="268">
        <v>9</v>
      </c>
      <c r="P57" s="268">
        <v>10</v>
      </c>
      <c r="Q57" s="268">
        <v>11</v>
      </c>
      <c r="R57" s="268">
        <v>12</v>
      </c>
      <c r="S57" s="268">
        <v>13</v>
      </c>
      <c r="T57" s="268">
        <v>14</v>
      </c>
      <c r="U57" s="268">
        <v>15</v>
      </c>
      <c r="V57" s="268">
        <v>16</v>
      </c>
      <c r="W57" s="268">
        <v>17</v>
      </c>
      <c r="X57" s="268">
        <v>18</v>
      </c>
      <c r="Y57" s="268">
        <v>19</v>
      </c>
      <c r="Z57" s="269">
        <v>20</v>
      </c>
      <c r="AA57" s="520"/>
      <c r="AB57" s="520"/>
      <c r="AC57" s="520"/>
    </row>
    <row r="58" spans="2:29" ht="19.5" customHeight="1">
      <c r="B58" s="672" t="s">
        <v>244</v>
      </c>
      <c r="C58" s="673">
        <v>1</v>
      </c>
      <c r="D58" s="673">
        <v>5</v>
      </c>
      <c r="E58" s="674">
        <v>1</v>
      </c>
      <c r="F58" s="675">
        <v>30000</v>
      </c>
      <c r="G58" s="264">
        <v>30000</v>
      </c>
      <c r="H58" s="254">
        <f aca="true" t="shared" si="0" ref="H58:W65">IF(OR(ISBLANK($C58),$C58&gt;H$57),0,IF(AND(NOT(ISBLANK($D58)),H$57&gt;$D58),0,IF(MOD((H$57-$C58),MAX($E58,1))=0,$F58,0)))</f>
        <v>30000</v>
      </c>
      <c r="I58" s="254">
        <f t="shared" si="0"/>
        <v>30000</v>
      </c>
      <c r="J58" s="254">
        <f t="shared" si="0"/>
        <v>30000</v>
      </c>
      <c r="K58" s="254">
        <f t="shared" si="0"/>
        <v>30000</v>
      </c>
      <c r="L58" s="254">
        <f t="shared" si="0"/>
        <v>0</v>
      </c>
      <c r="M58" s="254">
        <f t="shared" si="0"/>
        <v>0</v>
      </c>
      <c r="N58" s="254">
        <f t="shared" si="0"/>
        <v>0</v>
      </c>
      <c r="O58" s="254">
        <f t="shared" si="0"/>
        <v>0</v>
      </c>
      <c r="P58" s="254">
        <f t="shared" si="0"/>
        <v>0</v>
      </c>
      <c r="Q58" s="254">
        <f t="shared" si="0"/>
        <v>0</v>
      </c>
      <c r="R58" s="254">
        <f t="shared" si="0"/>
        <v>0</v>
      </c>
      <c r="S58" s="254">
        <f t="shared" si="0"/>
        <v>0</v>
      </c>
      <c r="T58" s="254">
        <f t="shared" si="0"/>
        <v>0</v>
      </c>
      <c r="U58" s="254">
        <f t="shared" si="0"/>
        <v>0</v>
      </c>
      <c r="V58" s="254">
        <f t="shared" si="0"/>
        <v>0</v>
      </c>
      <c r="W58" s="254">
        <f t="shared" si="0"/>
        <v>0</v>
      </c>
      <c r="X58" s="254">
        <f aca="true" t="shared" si="1" ref="X58:Z65">IF(OR(ISBLANK($C58),$C58&gt;X$57),0,IF(AND(NOT(ISBLANK($D58)),X$57&gt;$D58),0,IF(MOD((X$57-$C58),MAX($E58,1))=0,$F58,0)))</f>
        <v>0</v>
      </c>
      <c r="Y58" s="254">
        <f t="shared" si="1"/>
        <v>0</v>
      </c>
      <c r="Z58" s="255">
        <f t="shared" si="1"/>
        <v>0</v>
      </c>
      <c r="AA58" s="801">
        <f>+SUMPRODUCT(G58:Z58,$G$75:$Z$75)</f>
        <v>140981.67435286794</v>
      </c>
      <c r="AB58" s="801">
        <f>(IF(ISBLANK(C58),0,IF(D58,0,((1+$G$53)^MOD($Z$57-C58,MAX(E58,1)))*((1+$G$53)^-$Z$57)*F58/((1+$G$53)^(MAX(E58,1))-1))))*(1+$G$53)</f>
        <v>0</v>
      </c>
      <c r="AC58" s="801">
        <f aca="true" t="shared" si="2" ref="AC58:AC65">+AA58+AB58</f>
        <v>140981.67435286794</v>
      </c>
    </row>
    <row r="59" spans="2:29" ht="19.5" customHeight="1">
      <c r="B59" s="676" t="s">
        <v>245</v>
      </c>
      <c r="C59" s="677">
        <v>6</v>
      </c>
      <c r="D59" s="677"/>
      <c r="E59" s="678">
        <v>1</v>
      </c>
      <c r="F59" s="679">
        <v>3000</v>
      </c>
      <c r="G59" s="257">
        <f aca="true" t="shared" si="3" ref="G59:G65">IF(OR(ISBLANK($C59),$C59&gt;G$57),0,IF(AND(NOT(ISBLANK($D59)),G$57&gt;$D59),0,IF(MOD((G$57-$C59),MAX($E59,1))=0,$F59,0)))</f>
        <v>0</v>
      </c>
      <c r="H59" s="34">
        <f t="shared" si="0"/>
        <v>0</v>
      </c>
      <c r="I59" s="34">
        <f t="shared" si="0"/>
        <v>0</v>
      </c>
      <c r="J59" s="34">
        <f t="shared" si="0"/>
        <v>0</v>
      </c>
      <c r="K59" s="34">
        <f t="shared" si="0"/>
        <v>0</v>
      </c>
      <c r="L59" s="34">
        <f t="shared" si="0"/>
        <v>3000</v>
      </c>
      <c r="M59" s="34">
        <f t="shared" si="0"/>
        <v>3000</v>
      </c>
      <c r="N59" s="34">
        <f t="shared" si="0"/>
        <v>3000</v>
      </c>
      <c r="O59" s="34">
        <f t="shared" si="0"/>
        <v>3000</v>
      </c>
      <c r="P59" s="34">
        <f t="shared" si="0"/>
        <v>3000</v>
      </c>
      <c r="Q59" s="34">
        <f t="shared" si="0"/>
        <v>3000</v>
      </c>
      <c r="R59" s="34">
        <f t="shared" si="0"/>
        <v>3000</v>
      </c>
      <c r="S59" s="34">
        <f t="shared" si="0"/>
        <v>3000</v>
      </c>
      <c r="T59" s="34">
        <f t="shared" si="0"/>
        <v>3000</v>
      </c>
      <c r="U59" s="34">
        <f t="shared" si="0"/>
        <v>3000</v>
      </c>
      <c r="V59" s="34">
        <f t="shared" si="0"/>
        <v>3000</v>
      </c>
      <c r="W59" s="34">
        <f t="shared" si="0"/>
        <v>3000</v>
      </c>
      <c r="X59" s="34">
        <f t="shared" si="1"/>
        <v>3000</v>
      </c>
      <c r="Y59" s="34">
        <f t="shared" si="1"/>
        <v>3000</v>
      </c>
      <c r="Z59" s="35">
        <f t="shared" si="1"/>
        <v>3000</v>
      </c>
      <c r="AA59" s="802">
        <f aca="true" t="shared" si="4" ref="AA59:AA71">+SUMPRODUCT(G59:Z59,$G$75:$Z$75)</f>
        <v>31122.202116846165</v>
      </c>
      <c r="AB59" s="802">
        <f aca="true" t="shared" si="5" ref="AB59:AB71">(IF(ISBLANK(C59),0,IF(D59,0,((1+$G$53)^MOD($Z$57-C59,MAX(E59,1)))*((1+$G$53)^-$Z$57)*F59/((1+$G$53)^(MAX(E59,1))-1))))*(1+$G$53)</f>
        <v>51529.63044786701</v>
      </c>
      <c r="AC59" s="802">
        <f t="shared" si="2"/>
        <v>82651.83256471317</v>
      </c>
    </row>
    <row r="60" spans="2:29" ht="19.5" customHeight="1">
      <c r="B60" s="680" t="s">
        <v>246</v>
      </c>
      <c r="C60" s="677">
        <v>1</v>
      </c>
      <c r="D60" s="677">
        <v>5</v>
      </c>
      <c r="E60" s="678">
        <v>1</v>
      </c>
      <c r="F60" s="679">
        <v>10000</v>
      </c>
      <c r="G60" s="257">
        <f t="shared" si="3"/>
        <v>10000</v>
      </c>
      <c r="H60" s="34">
        <f t="shared" si="0"/>
        <v>10000</v>
      </c>
      <c r="I60" s="34">
        <f t="shared" si="0"/>
        <v>10000</v>
      </c>
      <c r="J60" s="34">
        <f t="shared" si="0"/>
        <v>10000</v>
      </c>
      <c r="K60" s="34">
        <f t="shared" si="0"/>
        <v>10000</v>
      </c>
      <c r="L60" s="34">
        <f t="shared" si="0"/>
        <v>0</v>
      </c>
      <c r="M60" s="34">
        <f t="shared" si="0"/>
        <v>0</v>
      </c>
      <c r="N60" s="34">
        <f t="shared" si="0"/>
        <v>0</v>
      </c>
      <c r="O60" s="34">
        <f t="shared" si="0"/>
        <v>0</v>
      </c>
      <c r="P60" s="34">
        <f t="shared" si="0"/>
        <v>0</v>
      </c>
      <c r="Q60" s="34">
        <f t="shared" si="0"/>
        <v>0</v>
      </c>
      <c r="R60" s="34">
        <f t="shared" si="0"/>
        <v>0</v>
      </c>
      <c r="S60" s="34">
        <f t="shared" si="0"/>
        <v>0</v>
      </c>
      <c r="T60" s="34">
        <f t="shared" si="0"/>
        <v>0</v>
      </c>
      <c r="U60" s="34">
        <f t="shared" si="0"/>
        <v>0</v>
      </c>
      <c r="V60" s="34">
        <f t="shared" si="0"/>
        <v>0</v>
      </c>
      <c r="W60" s="34">
        <f t="shared" si="0"/>
        <v>0</v>
      </c>
      <c r="X60" s="34">
        <f t="shared" si="1"/>
        <v>0</v>
      </c>
      <c r="Y60" s="34">
        <f t="shared" si="1"/>
        <v>0</v>
      </c>
      <c r="Z60" s="35">
        <f t="shared" si="1"/>
        <v>0</v>
      </c>
      <c r="AA60" s="802">
        <f t="shared" si="4"/>
        <v>46993.891450955976</v>
      </c>
      <c r="AB60" s="802">
        <f t="shared" si="5"/>
        <v>0</v>
      </c>
      <c r="AC60" s="802">
        <f t="shared" si="2"/>
        <v>46993.891450955976</v>
      </c>
    </row>
    <row r="61" spans="2:29" ht="19.5" customHeight="1">
      <c r="B61" s="676" t="s">
        <v>247</v>
      </c>
      <c r="C61" s="677">
        <v>6</v>
      </c>
      <c r="D61" s="677"/>
      <c r="E61" s="678">
        <v>1</v>
      </c>
      <c r="F61" s="679">
        <v>5000</v>
      </c>
      <c r="G61" s="257">
        <f t="shared" si="3"/>
        <v>0</v>
      </c>
      <c r="H61" s="34">
        <f t="shared" si="0"/>
        <v>0</v>
      </c>
      <c r="I61" s="34">
        <f t="shared" si="0"/>
        <v>0</v>
      </c>
      <c r="J61" s="34">
        <f t="shared" si="0"/>
        <v>0</v>
      </c>
      <c r="K61" s="34">
        <f t="shared" si="0"/>
        <v>0</v>
      </c>
      <c r="L61" s="34">
        <f t="shared" si="0"/>
        <v>5000</v>
      </c>
      <c r="M61" s="34">
        <f t="shared" si="0"/>
        <v>5000</v>
      </c>
      <c r="N61" s="34">
        <f t="shared" si="0"/>
        <v>5000</v>
      </c>
      <c r="O61" s="34">
        <f t="shared" si="0"/>
        <v>5000</v>
      </c>
      <c r="P61" s="34">
        <f t="shared" si="0"/>
        <v>5000</v>
      </c>
      <c r="Q61" s="34">
        <f t="shared" si="0"/>
        <v>5000</v>
      </c>
      <c r="R61" s="34">
        <f t="shared" si="0"/>
        <v>5000</v>
      </c>
      <c r="S61" s="34">
        <f t="shared" si="0"/>
        <v>5000</v>
      </c>
      <c r="T61" s="34">
        <f t="shared" si="0"/>
        <v>5000</v>
      </c>
      <c r="U61" s="34">
        <f t="shared" si="0"/>
        <v>5000</v>
      </c>
      <c r="V61" s="34">
        <f t="shared" si="0"/>
        <v>5000</v>
      </c>
      <c r="W61" s="34">
        <f t="shared" si="0"/>
        <v>5000</v>
      </c>
      <c r="X61" s="34">
        <f t="shared" si="1"/>
        <v>5000</v>
      </c>
      <c r="Y61" s="34">
        <f t="shared" si="1"/>
        <v>5000</v>
      </c>
      <c r="Z61" s="35">
        <f t="shared" si="1"/>
        <v>5000</v>
      </c>
      <c r="AA61" s="802">
        <f t="shared" si="4"/>
        <v>51870.33686141027</v>
      </c>
      <c r="AB61" s="802">
        <f t="shared" si="5"/>
        <v>85882.71741311168</v>
      </c>
      <c r="AC61" s="802">
        <f t="shared" si="2"/>
        <v>137753.05427452194</v>
      </c>
    </row>
    <row r="62" spans="2:29" ht="19.5" customHeight="1">
      <c r="B62" s="680" t="s">
        <v>226</v>
      </c>
      <c r="C62" s="677">
        <v>10</v>
      </c>
      <c r="D62" s="677"/>
      <c r="E62" s="678">
        <v>10</v>
      </c>
      <c r="F62" s="679">
        <v>20000</v>
      </c>
      <c r="G62" s="257">
        <f t="shared" si="3"/>
        <v>0</v>
      </c>
      <c r="H62" s="34">
        <f t="shared" si="0"/>
        <v>0</v>
      </c>
      <c r="I62" s="34">
        <f t="shared" si="0"/>
        <v>0</v>
      </c>
      <c r="J62" s="34">
        <f t="shared" si="0"/>
        <v>0</v>
      </c>
      <c r="K62" s="34">
        <f t="shared" si="0"/>
        <v>0</v>
      </c>
      <c r="L62" s="34">
        <f t="shared" si="0"/>
        <v>0</v>
      </c>
      <c r="M62" s="34">
        <f t="shared" si="0"/>
        <v>0</v>
      </c>
      <c r="N62" s="34">
        <f t="shared" si="0"/>
        <v>0</v>
      </c>
      <c r="O62" s="34">
        <f t="shared" si="0"/>
        <v>0</v>
      </c>
      <c r="P62" s="34">
        <f t="shared" si="0"/>
        <v>20000</v>
      </c>
      <c r="Q62" s="34">
        <f t="shared" si="0"/>
        <v>0</v>
      </c>
      <c r="R62" s="34">
        <f t="shared" si="0"/>
        <v>0</v>
      </c>
      <c r="S62" s="34">
        <f t="shared" si="0"/>
        <v>0</v>
      </c>
      <c r="T62" s="34">
        <f t="shared" si="0"/>
        <v>0</v>
      </c>
      <c r="U62" s="34">
        <f t="shared" si="0"/>
        <v>0</v>
      </c>
      <c r="V62" s="34">
        <f t="shared" si="0"/>
        <v>0</v>
      </c>
      <c r="W62" s="34">
        <f t="shared" si="0"/>
        <v>0</v>
      </c>
      <c r="X62" s="34">
        <f t="shared" si="1"/>
        <v>0</v>
      </c>
      <c r="Y62" s="34">
        <f t="shared" si="1"/>
        <v>0</v>
      </c>
      <c r="Z62" s="35">
        <f t="shared" si="1"/>
        <v>20000</v>
      </c>
      <c r="AA62" s="802">
        <f t="shared" si="4"/>
        <v>26056.030973875542</v>
      </c>
      <c r="AB62" s="802">
        <f t="shared" si="5"/>
        <v>29691.434641507793</v>
      </c>
      <c r="AC62" s="802">
        <f t="shared" si="2"/>
        <v>55747.465615383335</v>
      </c>
    </row>
    <row r="63" spans="2:29" ht="19.5" customHeight="1">
      <c r="B63" s="680" t="s">
        <v>227</v>
      </c>
      <c r="C63" s="677">
        <v>4</v>
      </c>
      <c r="D63" s="677"/>
      <c r="E63" s="678">
        <v>4</v>
      </c>
      <c r="F63" s="679">
        <v>4000</v>
      </c>
      <c r="G63" s="257">
        <f t="shared" si="3"/>
        <v>0</v>
      </c>
      <c r="H63" s="34">
        <f t="shared" si="0"/>
        <v>0</v>
      </c>
      <c r="I63" s="34">
        <f t="shared" si="0"/>
        <v>0</v>
      </c>
      <c r="J63" s="34">
        <f t="shared" si="0"/>
        <v>4000</v>
      </c>
      <c r="K63" s="34">
        <f t="shared" si="0"/>
        <v>0</v>
      </c>
      <c r="L63" s="34">
        <f t="shared" si="0"/>
        <v>0</v>
      </c>
      <c r="M63" s="34">
        <f t="shared" si="0"/>
        <v>0</v>
      </c>
      <c r="N63" s="34">
        <f t="shared" si="0"/>
        <v>4000</v>
      </c>
      <c r="O63" s="34">
        <f t="shared" si="0"/>
        <v>0</v>
      </c>
      <c r="P63" s="34">
        <f t="shared" si="0"/>
        <v>0</v>
      </c>
      <c r="Q63" s="34">
        <f t="shared" si="0"/>
        <v>0</v>
      </c>
      <c r="R63" s="34">
        <f t="shared" si="0"/>
        <v>4000</v>
      </c>
      <c r="S63" s="34">
        <f t="shared" si="0"/>
        <v>0</v>
      </c>
      <c r="T63" s="34">
        <f t="shared" si="0"/>
        <v>0</v>
      </c>
      <c r="U63" s="34">
        <f t="shared" si="0"/>
        <v>0</v>
      </c>
      <c r="V63" s="34">
        <f t="shared" si="0"/>
        <v>4000</v>
      </c>
      <c r="W63" s="34">
        <f t="shared" si="0"/>
        <v>0</v>
      </c>
      <c r="X63" s="34">
        <f t="shared" si="1"/>
        <v>0</v>
      </c>
      <c r="Y63" s="34">
        <f t="shared" si="1"/>
        <v>0</v>
      </c>
      <c r="Z63" s="35">
        <f t="shared" si="1"/>
        <v>4000</v>
      </c>
      <c r="AA63" s="802">
        <f>+SUMPRODUCT(G63:Z63,$G$75:$Z$75)</f>
        <v>14368.917019257358</v>
      </c>
      <c r="AB63" s="802">
        <f>(IF(ISBLANK(C63),0,IF(D63,0,((1+$G$53)^MOD($Z$57-C63,MAX(E63,1)))*((1+$G$53)^-$Z$57)*F63/((1+$G$53)^(MAX(E63,1))-1))))*(1+$G$53)</f>
        <v>16373.704843008632</v>
      </c>
      <c r="AC63" s="802">
        <f>+AA63+AB63</f>
        <v>30742.62186226599</v>
      </c>
    </row>
    <row r="64" spans="2:29" ht="19.5" customHeight="1">
      <c r="B64" s="680" t="s">
        <v>228</v>
      </c>
      <c r="C64" s="677">
        <v>1</v>
      </c>
      <c r="D64" s="677">
        <v>1</v>
      </c>
      <c r="E64" s="678"/>
      <c r="F64" s="679">
        <v>21000</v>
      </c>
      <c r="G64" s="257">
        <f t="shared" si="3"/>
        <v>21000</v>
      </c>
      <c r="H64" s="34">
        <f t="shared" si="0"/>
        <v>0</v>
      </c>
      <c r="I64" s="34">
        <f t="shared" si="0"/>
        <v>0</v>
      </c>
      <c r="J64" s="34">
        <f t="shared" si="0"/>
        <v>0</v>
      </c>
      <c r="K64" s="34">
        <f t="shared" si="0"/>
        <v>0</v>
      </c>
      <c r="L64" s="34">
        <f t="shared" si="0"/>
        <v>0</v>
      </c>
      <c r="M64" s="34">
        <f t="shared" si="0"/>
        <v>0</v>
      </c>
      <c r="N64" s="34">
        <f t="shared" si="0"/>
        <v>0</v>
      </c>
      <c r="O64" s="34">
        <f t="shared" si="0"/>
        <v>0</v>
      </c>
      <c r="P64" s="34">
        <f t="shared" si="0"/>
        <v>0</v>
      </c>
      <c r="Q64" s="34">
        <f t="shared" si="0"/>
        <v>0</v>
      </c>
      <c r="R64" s="34">
        <f t="shared" si="0"/>
        <v>0</v>
      </c>
      <c r="S64" s="34">
        <f t="shared" si="0"/>
        <v>0</v>
      </c>
      <c r="T64" s="34">
        <f t="shared" si="0"/>
        <v>0</v>
      </c>
      <c r="U64" s="34">
        <f t="shared" si="0"/>
        <v>0</v>
      </c>
      <c r="V64" s="34">
        <f t="shared" si="0"/>
        <v>0</v>
      </c>
      <c r="W64" s="34">
        <f t="shared" si="0"/>
        <v>0</v>
      </c>
      <c r="X64" s="34">
        <f t="shared" si="1"/>
        <v>0</v>
      </c>
      <c r="Y64" s="34">
        <f t="shared" si="1"/>
        <v>0</v>
      </c>
      <c r="Z64" s="35">
        <f t="shared" si="1"/>
        <v>0</v>
      </c>
      <c r="AA64" s="802">
        <f t="shared" si="4"/>
        <v>21000</v>
      </c>
      <c r="AB64" s="802">
        <f t="shared" si="5"/>
        <v>0</v>
      </c>
      <c r="AC64" s="802">
        <f t="shared" si="2"/>
        <v>21000</v>
      </c>
    </row>
    <row r="65" spans="2:29" ht="19.5" customHeight="1">
      <c r="B65" s="680" t="s">
        <v>229</v>
      </c>
      <c r="C65" s="677">
        <v>5</v>
      </c>
      <c r="D65" s="677"/>
      <c r="E65" s="678">
        <v>3</v>
      </c>
      <c r="F65" s="679">
        <v>5000</v>
      </c>
      <c r="G65" s="257">
        <f t="shared" si="3"/>
        <v>0</v>
      </c>
      <c r="H65" s="34">
        <f t="shared" si="0"/>
        <v>0</v>
      </c>
      <c r="I65" s="34">
        <f t="shared" si="0"/>
        <v>0</v>
      </c>
      <c r="J65" s="34">
        <f t="shared" si="0"/>
        <v>0</v>
      </c>
      <c r="K65" s="34">
        <f t="shared" si="0"/>
        <v>5000</v>
      </c>
      <c r="L65" s="34">
        <f t="shared" si="0"/>
        <v>0</v>
      </c>
      <c r="M65" s="34">
        <f t="shared" si="0"/>
        <v>0</v>
      </c>
      <c r="N65" s="34">
        <f t="shared" si="0"/>
        <v>5000</v>
      </c>
      <c r="O65" s="34">
        <f t="shared" si="0"/>
        <v>0</v>
      </c>
      <c r="P65" s="34">
        <f t="shared" si="0"/>
        <v>0</v>
      </c>
      <c r="Q65" s="34">
        <f t="shared" si="0"/>
        <v>5000</v>
      </c>
      <c r="R65" s="34">
        <f t="shared" si="0"/>
        <v>0</v>
      </c>
      <c r="S65" s="34">
        <f t="shared" si="0"/>
        <v>0</v>
      </c>
      <c r="T65" s="34">
        <f t="shared" si="0"/>
        <v>5000</v>
      </c>
      <c r="U65" s="34">
        <f t="shared" si="0"/>
        <v>0</v>
      </c>
      <c r="V65" s="34">
        <f t="shared" si="0"/>
        <v>0</v>
      </c>
      <c r="W65" s="34">
        <f t="shared" si="0"/>
        <v>5000</v>
      </c>
      <c r="X65" s="34">
        <f t="shared" si="1"/>
        <v>0</v>
      </c>
      <c r="Y65" s="34">
        <f t="shared" si="1"/>
        <v>0</v>
      </c>
      <c r="Z65" s="35">
        <f t="shared" si="1"/>
        <v>5000</v>
      </c>
      <c r="AA65" s="802">
        <f t="shared" si="4"/>
        <v>21156.54297369933</v>
      </c>
      <c r="AB65" s="802">
        <f t="shared" si="5"/>
        <v>27730.72388625721</v>
      </c>
      <c r="AC65" s="802">
        <f t="shared" si="2"/>
        <v>48887.26685995654</v>
      </c>
    </row>
    <row r="66" spans="2:29" ht="26.25" customHeight="1">
      <c r="B66" s="667" t="s">
        <v>177</v>
      </c>
      <c r="C66" s="263"/>
      <c r="D66" s="262"/>
      <c r="E66" s="252"/>
      <c r="F66" s="248"/>
      <c r="G66" s="506"/>
      <c r="H66" s="507"/>
      <c r="I66" s="507"/>
      <c r="J66" s="507"/>
      <c r="K66" s="507"/>
      <c r="L66" s="507"/>
      <c r="M66" s="507"/>
      <c r="N66" s="507"/>
      <c r="O66" s="507"/>
      <c r="P66" s="507"/>
      <c r="Q66" s="507"/>
      <c r="R66" s="507"/>
      <c r="S66" s="507"/>
      <c r="T66" s="507"/>
      <c r="U66" s="507"/>
      <c r="V66" s="507"/>
      <c r="W66" s="507"/>
      <c r="X66" s="507"/>
      <c r="Y66" s="507"/>
      <c r="Z66" s="508"/>
      <c r="AA66" s="803"/>
      <c r="AB66" s="803"/>
      <c r="AC66" s="803"/>
    </row>
    <row r="67" spans="2:29" ht="19.5" customHeight="1">
      <c r="B67" s="481" t="s">
        <v>241</v>
      </c>
      <c r="C67" s="482">
        <v>1</v>
      </c>
      <c r="D67" s="482"/>
      <c r="E67" s="483">
        <v>1</v>
      </c>
      <c r="F67" s="484">
        <v>1665</v>
      </c>
      <c r="G67" s="257">
        <f aca="true" t="shared" si="6" ref="G67:Z67">IF(OR(ISBLANK($C67),$C67&gt;G$57),0,IF(AND(NOT(ISBLANK($D67)),G$57&gt;$D67),0,IF(MOD((G$57-$C67),MAX($E67,1))=0,$F67,0)))</f>
        <v>1665</v>
      </c>
      <c r="H67" s="34">
        <f t="shared" si="6"/>
        <v>1665</v>
      </c>
      <c r="I67" s="34">
        <f t="shared" si="6"/>
        <v>1665</v>
      </c>
      <c r="J67" s="34">
        <f t="shared" si="6"/>
        <v>1665</v>
      </c>
      <c r="K67" s="34">
        <f t="shared" si="6"/>
        <v>1665</v>
      </c>
      <c r="L67" s="34">
        <f t="shared" si="6"/>
        <v>1665</v>
      </c>
      <c r="M67" s="34">
        <f t="shared" si="6"/>
        <v>1665</v>
      </c>
      <c r="N67" s="34">
        <f t="shared" si="6"/>
        <v>1665</v>
      </c>
      <c r="O67" s="34">
        <f t="shared" si="6"/>
        <v>1665</v>
      </c>
      <c r="P67" s="34">
        <f t="shared" si="6"/>
        <v>1665</v>
      </c>
      <c r="Q67" s="34">
        <f t="shared" si="6"/>
        <v>1665</v>
      </c>
      <c r="R67" s="34">
        <f t="shared" si="6"/>
        <v>1665</v>
      </c>
      <c r="S67" s="34">
        <f t="shared" si="6"/>
        <v>1665</v>
      </c>
      <c r="T67" s="34">
        <f t="shared" si="6"/>
        <v>1665</v>
      </c>
      <c r="U67" s="34">
        <f t="shared" si="6"/>
        <v>1665</v>
      </c>
      <c r="V67" s="34">
        <f t="shared" si="6"/>
        <v>1665</v>
      </c>
      <c r="W67" s="34">
        <f t="shared" si="6"/>
        <v>1665</v>
      </c>
      <c r="X67" s="34">
        <f t="shared" si="6"/>
        <v>1665</v>
      </c>
      <c r="Y67" s="34">
        <f t="shared" si="6"/>
        <v>1665</v>
      </c>
      <c r="Z67" s="35">
        <f t="shared" si="6"/>
        <v>1665</v>
      </c>
      <c r="AA67" s="802">
        <f t="shared" si="4"/>
        <v>25097.30510143379</v>
      </c>
      <c r="AB67" s="802">
        <f t="shared" si="5"/>
        <v>28598.94489856619</v>
      </c>
      <c r="AC67" s="802">
        <f>+AA67+AB67</f>
        <v>53696.249999999985</v>
      </c>
    </row>
    <row r="68" spans="2:29" ht="19.5" customHeight="1">
      <c r="B68" s="681" t="s">
        <v>230</v>
      </c>
      <c r="C68" s="682">
        <v>1</v>
      </c>
      <c r="D68" s="682"/>
      <c r="E68" s="683"/>
      <c r="F68" s="684">
        <v>3000</v>
      </c>
      <c r="G68" s="257">
        <f aca="true" t="shared" si="7" ref="G68:Z71">IF(OR(ISBLANK($C68),$C68&gt;G$57),0,IF(AND(NOT(ISBLANK($D68)),G$57&gt;$D68),0,IF(MOD((G$57-$C68),MAX($E68,1))=0,$F68,0)))</f>
        <v>3000</v>
      </c>
      <c r="H68" s="34">
        <f t="shared" si="7"/>
        <v>3000</v>
      </c>
      <c r="I68" s="34">
        <f t="shared" si="7"/>
        <v>3000</v>
      </c>
      <c r="J68" s="34">
        <f t="shared" si="7"/>
        <v>3000</v>
      </c>
      <c r="K68" s="34">
        <f t="shared" si="7"/>
        <v>3000</v>
      </c>
      <c r="L68" s="34">
        <f t="shared" si="7"/>
        <v>3000</v>
      </c>
      <c r="M68" s="34">
        <f t="shared" si="7"/>
        <v>3000</v>
      </c>
      <c r="N68" s="34">
        <f t="shared" si="7"/>
        <v>3000</v>
      </c>
      <c r="O68" s="34">
        <f t="shared" si="7"/>
        <v>3000</v>
      </c>
      <c r="P68" s="34">
        <f t="shared" si="7"/>
        <v>3000</v>
      </c>
      <c r="Q68" s="34">
        <f t="shared" si="7"/>
        <v>3000</v>
      </c>
      <c r="R68" s="34">
        <f t="shared" si="7"/>
        <v>3000</v>
      </c>
      <c r="S68" s="34">
        <f t="shared" si="7"/>
        <v>3000</v>
      </c>
      <c r="T68" s="34">
        <f t="shared" si="7"/>
        <v>3000</v>
      </c>
      <c r="U68" s="34">
        <f t="shared" si="7"/>
        <v>3000</v>
      </c>
      <c r="V68" s="34">
        <f t="shared" si="7"/>
        <v>3000</v>
      </c>
      <c r="W68" s="34">
        <f t="shared" si="7"/>
        <v>3000</v>
      </c>
      <c r="X68" s="34">
        <f t="shared" si="7"/>
        <v>3000</v>
      </c>
      <c r="Y68" s="34">
        <f t="shared" si="7"/>
        <v>3000</v>
      </c>
      <c r="Z68" s="35">
        <f t="shared" si="7"/>
        <v>3000</v>
      </c>
      <c r="AA68" s="802">
        <f t="shared" si="4"/>
        <v>45220.36955213295</v>
      </c>
      <c r="AB68" s="802">
        <f t="shared" si="5"/>
        <v>51529.63044786701</v>
      </c>
      <c r="AC68" s="802">
        <f>+AA68+AB68</f>
        <v>96749.99999999997</v>
      </c>
    </row>
    <row r="69" spans="2:29" ht="19.5" customHeight="1">
      <c r="B69" s="681" t="s">
        <v>231</v>
      </c>
      <c r="C69" s="682">
        <v>1</v>
      </c>
      <c r="D69" s="682"/>
      <c r="E69" s="683"/>
      <c r="F69" s="684">
        <v>5000</v>
      </c>
      <c r="G69" s="257">
        <f t="shared" si="7"/>
        <v>5000</v>
      </c>
      <c r="H69" s="34">
        <f t="shared" si="7"/>
        <v>5000</v>
      </c>
      <c r="I69" s="34">
        <f t="shared" si="7"/>
        <v>5000</v>
      </c>
      <c r="J69" s="34">
        <f t="shared" si="7"/>
        <v>5000</v>
      </c>
      <c r="K69" s="34">
        <f t="shared" si="7"/>
        <v>5000</v>
      </c>
      <c r="L69" s="34">
        <f t="shared" si="7"/>
        <v>5000</v>
      </c>
      <c r="M69" s="34">
        <f t="shared" si="7"/>
        <v>5000</v>
      </c>
      <c r="N69" s="34">
        <f t="shared" si="7"/>
        <v>5000</v>
      </c>
      <c r="O69" s="34">
        <f t="shared" si="7"/>
        <v>5000</v>
      </c>
      <c r="P69" s="34">
        <f t="shared" si="7"/>
        <v>5000</v>
      </c>
      <c r="Q69" s="34">
        <f t="shared" si="7"/>
        <v>5000</v>
      </c>
      <c r="R69" s="34">
        <f t="shared" si="7"/>
        <v>5000</v>
      </c>
      <c r="S69" s="34">
        <f t="shared" si="7"/>
        <v>5000</v>
      </c>
      <c r="T69" s="34">
        <f t="shared" si="7"/>
        <v>5000</v>
      </c>
      <c r="U69" s="34">
        <f t="shared" si="7"/>
        <v>5000</v>
      </c>
      <c r="V69" s="34">
        <f t="shared" si="7"/>
        <v>5000</v>
      </c>
      <c r="W69" s="34">
        <f t="shared" si="7"/>
        <v>5000</v>
      </c>
      <c r="X69" s="34">
        <f t="shared" si="7"/>
        <v>5000</v>
      </c>
      <c r="Y69" s="34">
        <f t="shared" si="7"/>
        <v>5000</v>
      </c>
      <c r="Z69" s="35">
        <f t="shared" si="7"/>
        <v>5000</v>
      </c>
      <c r="AA69" s="802">
        <f t="shared" si="4"/>
        <v>75367.28258688826</v>
      </c>
      <c r="AB69" s="802">
        <f t="shared" si="5"/>
        <v>85882.71741311168</v>
      </c>
      <c r="AC69" s="802">
        <f>+AA69+AB69</f>
        <v>161249.99999999994</v>
      </c>
    </row>
    <row r="70" spans="2:29" ht="19.5" customHeight="1">
      <c r="B70" s="681" t="s">
        <v>232</v>
      </c>
      <c r="C70" s="682">
        <v>1</v>
      </c>
      <c r="D70" s="682"/>
      <c r="E70" s="683"/>
      <c r="F70" s="684">
        <v>3000</v>
      </c>
      <c r="G70" s="257">
        <f t="shared" si="7"/>
        <v>3000</v>
      </c>
      <c r="H70" s="34">
        <f t="shared" si="7"/>
        <v>3000</v>
      </c>
      <c r="I70" s="34">
        <f t="shared" si="7"/>
        <v>3000</v>
      </c>
      <c r="J70" s="34">
        <f t="shared" si="7"/>
        <v>3000</v>
      </c>
      <c r="K70" s="34">
        <f t="shared" si="7"/>
        <v>3000</v>
      </c>
      <c r="L70" s="34">
        <f t="shared" si="7"/>
        <v>3000</v>
      </c>
      <c r="M70" s="34">
        <f t="shared" si="7"/>
        <v>3000</v>
      </c>
      <c r="N70" s="34">
        <f t="shared" si="7"/>
        <v>3000</v>
      </c>
      <c r="O70" s="34">
        <f t="shared" si="7"/>
        <v>3000</v>
      </c>
      <c r="P70" s="34">
        <f t="shared" si="7"/>
        <v>3000</v>
      </c>
      <c r="Q70" s="34">
        <f t="shared" si="7"/>
        <v>3000</v>
      </c>
      <c r="R70" s="34">
        <f t="shared" si="7"/>
        <v>3000</v>
      </c>
      <c r="S70" s="34">
        <f t="shared" si="7"/>
        <v>3000</v>
      </c>
      <c r="T70" s="34">
        <f t="shared" si="7"/>
        <v>3000</v>
      </c>
      <c r="U70" s="34">
        <f t="shared" si="7"/>
        <v>3000</v>
      </c>
      <c r="V70" s="34">
        <f t="shared" si="7"/>
        <v>3000</v>
      </c>
      <c r="W70" s="34">
        <f t="shared" si="7"/>
        <v>3000</v>
      </c>
      <c r="X70" s="34">
        <f t="shared" si="7"/>
        <v>3000</v>
      </c>
      <c r="Y70" s="34">
        <f t="shared" si="7"/>
        <v>3000</v>
      </c>
      <c r="Z70" s="35">
        <f t="shared" si="7"/>
        <v>3000</v>
      </c>
      <c r="AA70" s="802">
        <f t="shared" si="4"/>
        <v>45220.36955213295</v>
      </c>
      <c r="AB70" s="802">
        <f t="shared" si="5"/>
        <v>51529.63044786701</v>
      </c>
      <c r="AC70" s="802">
        <f>+AA70+AB70</f>
        <v>96749.99999999997</v>
      </c>
    </row>
    <row r="71" spans="2:29" ht="19.5" customHeight="1" thickBot="1">
      <c r="B71" s="681" t="s">
        <v>233</v>
      </c>
      <c r="C71" s="682">
        <v>1</v>
      </c>
      <c r="D71" s="682"/>
      <c r="E71" s="683"/>
      <c r="F71" s="684">
        <v>500</v>
      </c>
      <c r="G71" s="257">
        <f t="shared" si="7"/>
        <v>500</v>
      </c>
      <c r="H71" s="34">
        <f t="shared" si="7"/>
        <v>500</v>
      </c>
      <c r="I71" s="34">
        <f t="shared" si="7"/>
        <v>500</v>
      </c>
      <c r="J71" s="34">
        <f t="shared" si="7"/>
        <v>500</v>
      </c>
      <c r="K71" s="34">
        <f t="shared" si="7"/>
        <v>500</v>
      </c>
      <c r="L71" s="34">
        <f t="shared" si="7"/>
        <v>500</v>
      </c>
      <c r="M71" s="34">
        <f t="shared" si="7"/>
        <v>500</v>
      </c>
      <c r="N71" s="34">
        <f t="shared" si="7"/>
        <v>500</v>
      </c>
      <c r="O71" s="34">
        <f t="shared" si="7"/>
        <v>500</v>
      </c>
      <c r="P71" s="34">
        <f t="shared" si="7"/>
        <v>500</v>
      </c>
      <c r="Q71" s="34">
        <f t="shared" si="7"/>
        <v>500</v>
      </c>
      <c r="R71" s="34">
        <f t="shared" si="7"/>
        <v>500</v>
      </c>
      <c r="S71" s="34">
        <f t="shared" si="7"/>
        <v>500</v>
      </c>
      <c r="T71" s="34">
        <f t="shared" si="7"/>
        <v>500</v>
      </c>
      <c r="U71" s="34">
        <f t="shared" si="7"/>
        <v>500</v>
      </c>
      <c r="V71" s="34">
        <f t="shared" si="7"/>
        <v>500</v>
      </c>
      <c r="W71" s="34">
        <f t="shared" si="7"/>
        <v>500</v>
      </c>
      <c r="X71" s="34">
        <f t="shared" si="7"/>
        <v>500</v>
      </c>
      <c r="Y71" s="34">
        <f t="shared" si="7"/>
        <v>500</v>
      </c>
      <c r="Z71" s="35">
        <f t="shared" si="7"/>
        <v>500</v>
      </c>
      <c r="AA71" s="802">
        <f t="shared" si="4"/>
        <v>7536.728258688827</v>
      </c>
      <c r="AB71" s="802">
        <f t="shared" si="5"/>
        <v>8588.271741311168</v>
      </c>
      <c r="AC71" s="802">
        <f>+AA71+AB71</f>
        <v>16124.999999999995</v>
      </c>
    </row>
    <row r="72" spans="2:29" ht="19.5" customHeight="1" thickBot="1">
      <c r="B72" s="350"/>
      <c r="C72" s="350"/>
      <c r="D72" s="350"/>
      <c r="E72" s="350"/>
      <c r="F72" s="351" t="s">
        <v>256</v>
      </c>
      <c r="G72" s="773">
        <f aca="true" t="shared" si="8" ref="G72:Z72">SUM(G67:G71)+SUM(G58:G65)</f>
        <v>74165</v>
      </c>
      <c r="H72" s="774">
        <f t="shared" si="8"/>
        <v>53165</v>
      </c>
      <c r="I72" s="774">
        <f t="shared" si="8"/>
        <v>53165</v>
      </c>
      <c r="J72" s="774">
        <f t="shared" si="8"/>
        <v>57165</v>
      </c>
      <c r="K72" s="774">
        <f t="shared" si="8"/>
        <v>58165</v>
      </c>
      <c r="L72" s="774">
        <f t="shared" si="8"/>
        <v>21165</v>
      </c>
      <c r="M72" s="774">
        <f t="shared" si="8"/>
        <v>21165</v>
      </c>
      <c r="N72" s="774">
        <f t="shared" si="8"/>
        <v>30165</v>
      </c>
      <c r="O72" s="774">
        <f t="shared" si="8"/>
        <v>21165</v>
      </c>
      <c r="P72" s="774">
        <f t="shared" si="8"/>
        <v>41165</v>
      </c>
      <c r="Q72" s="774">
        <f t="shared" si="8"/>
        <v>26165</v>
      </c>
      <c r="R72" s="774">
        <f t="shared" si="8"/>
        <v>25165</v>
      </c>
      <c r="S72" s="774">
        <f t="shared" si="8"/>
        <v>21165</v>
      </c>
      <c r="T72" s="774">
        <f t="shared" si="8"/>
        <v>26165</v>
      </c>
      <c r="U72" s="774">
        <f t="shared" si="8"/>
        <v>21165</v>
      </c>
      <c r="V72" s="774">
        <f t="shared" si="8"/>
        <v>25165</v>
      </c>
      <c r="W72" s="774">
        <f t="shared" si="8"/>
        <v>26165</v>
      </c>
      <c r="X72" s="774">
        <f t="shared" si="8"/>
        <v>21165</v>
      </c>
      <c r="Y72" s="774">
        <f t="shared" si="8"/>
        <v>21165</v>
      </c>
      <c r="Z72" s="775">
        <f t="shared" si="8"/>
        <v>50165</v>
      </c>
      <c r="AA72" s="172"/>
      <c r="AB72" s="172"/>
      <c r="AC72" s="353" t="s">
        <v>169</v>
      </c>
    </row>
    <row r="73" spans="2:29" ht="19.5" customHeight="1" thickBot="1">
      <c r="B73" s="43"/>
      <c r="C73" s="43"/>
      <c r="D73" s="43"/>
      <c r="E73" s="43"/>
      <c r="F73" s="45" t="s">
        <v>257</v>
      </c>
      <c r="G73" s="795">
        <f>G72*(1+$G$53)^-(G57-1)</f>
        <v>74165</v>
      </c>
      <c r="H73" s="796">
        <f aca="true" t="shared" si="9" ref="H73:Z73">H72*(1+$G$53)^-(H57-1)</f>
        <v>51516.47286821705</v>
      </c>
      <c r="I73" s="796">
        <f t="shared" si="9"/>
        <v>49919.06285679947</v>
      </c>
      <c r="J73" s="796">
        <f t="shared" si="9"/>
        <v>52010.510430248636</v>
      </c>
      <c r="K73" s="796">
        <f t="shared" si="9"/>
        <v>51279.40097201647</v>
      </c>
      <c r="L73" s="796">
        <f t="shared" si="9"/>
        <v>18080.889263381447</v>
      </c>
      <c r="M73" s="796">
        <f t="shared" si="9"/>
        <v>17520.24153428435</v>
      </c>
      <c r="N73" s="796">
        <f t="shared" si="9"/>
        <v>24196.10433900158</v>
      </c>
      <c r="O73" s="796">
        <f t="shared" si="9"/>
        <v>16450.56030125551</v>
      </c>
      <c r="P73" s="796">
        <f t="shared" si="9"/>
        <v>31003.508553190557</v>
      </c>
      <c r="Q73" s="796">
        <f t="shared" si="9"/>
        <v>19095.180420971545</v>
      </c>
      <c r="R73" s="796">
        <f t="shared" si="9"/>
        <v>17795.91261529578</v>
      </c>
      <c r="S73" s="796">
        <f t="shared" si="9"/>
        <v>14503.135526560945</v>
      </c>
      <c r="T73" s="796">
        <f t="shared" si="9"/>
        <v>17373.394217658002</v>
      </c>
      <c r="U73" s="796">
        <f t="shared" si="9"/>
        <v>13617.660753711603</v>
      </c>
      <c r="V73" s="796">
        <f t="shared" si="9"/>
        <v>15689.224424700742</v>
      </c>
      <c r="W73" s="796">
        <f t="shared" si="9"/>
        <v>15806.859112504555</v>
      </c>
      <c r="X73" s="796">
        <f t="shared" si="9"/>
        <v>12389.774978859523</v>
      </c>
      <c r="Y73" s="796">
        <f t="shared" si="9"/>
        <v>12005.5959097476</v>
      </c>
      <c r="Z73" s="797">
        <f t="shared" si="9"/>
        <v>27573.161721784014</v>
      </c>
      <c r="AA73" s="798">
        <f>SUM(AA67:AA71)+SUM(AA58:AA65)</f>
        <v>551991.6508001894</v>
      </c>
      <c r="AB73" s="799">
        <f>SUM(AB67:AB71)+SUM(AB58:AB65)</f>
        <v>437337.4061804754</v>
      </c>
      <c r="AC73" s="800">
        <f>+AA73+AB73</f>
        <v>989329.0569806647</v>
      </c>
    </row>
    <row r="74" spans="2:29" ht="15">
      <c r="B74" s="43"/>
      <c r="C74" s="43"/>
      <c r="D74" s="43"/>
      <c r="E74" s="43"/>
      <c r="F74" s="45"/>
      <c r="G74" s="47"/>
      <c r="H74" s="47"/>
      <c r="I74" s="47"/>
      <c r="J74" s="47"/>
      <c r="K74" s="47"/>
      <c r="L74" s="47"/>
      <c r="M74" s="47"/>
      <c r="N74" s="47"/>
      <c r="O74" s="47"/>
      <c r="P74" s="47"/>
      <c r="Q74" s="47"/>
      <c r="R74" s="47"/>
      <c r="S74" s="47"/>
      <c r="T74" s="47"/>
      <c r="U74" s="47"/>
      <c r="V74" s="47"/>
      <c r="W74" s="47"/>
      <c r="X74" s="47"/>
      <c r="Y74" s="47"/>
      <c r="Z74" s="47"/>
      <c r="AA74" s="47"/>
      <c r="AB74" s="47"/>
      <c r="AC74" s="45"/>
    </row>
    <row r="75" spans="2:29" ht="12">
      <c r="B75" s="23"/>
      <c r="C75" s="23"/>
      <c r="D75" s="23"/>
      <c r="E75" s="109" t="s">
        <v>178</v>
      </c>
      <c r="F75" s="110"/>
      <c r="G75" s="406">
        <f>+(1+$G$53)^-(G57-1)</f>
        <v>1</v>
      </c>
      <c r="H75" s="406">
        <f aca="true" t="shared" si="10" ref="H75:Z75">+(1+$G$53)^-(H57-1)</f>
        <v>0.9689922480620154</v>
      </c>
      <c r="I75" s="406">
        <f t="shared" si="10"/>
        <v>0.9389459768042786</v>
      </c>
      <c r="J75" s="406">
        <f t="shared" si="10"/>
        <v>0.909831372872363</v>
      </c>
      <c r="K75" s="406">
        <f t="shared" si="10"/>
        <v>0.8816195473569409</v>
      </c>
      <c r="L75" s="406">
        <f t="shared" si="10"/>
        <v>0.8542825071288186</v>
      </c>
      <c r="M75" s="406">
        <f t="shared" si="10"/>
        <v>0.8277931270628088</v>
      </c>
      <c r="N75" s="406">
        <f t="shared" si="10"/>
        <v>0.8021251231228769</v>
      </c>
      <c r="O75" s="406">
        <f t="shared" si="10"/>
        <v>0.7772530262818573</v>
      </c>
      <c r="P75" s="406">
        <f t="shared" si="10"/>
        <v>0.7531521572498617</v>
      </c>
      <c r="Q75" s="406">
        <f t="shared" si="10"/>
        <v>0.7297986019863002</v>
      </c>
      <c r="R75" s="406">
        <f t="shared" si="10"/>
        <v>0.7071691879712212</v>
      </c>
      <c r="S75" s="406">
        <f t="shared" si="10"/>
        <v>0.6852414612124236</v>
      </c>
      <c r="T75" s="406">
        <f t="shared" si="10"/>
        <v>0.6639936639655266</v>
      </c>
      <c r="U75" s="406">
        <f t="shared" si="10"/>
        <v>0.6434047131448903</v>
      </c>
      <c r="V75" s="406">
        <f t="shared" si="10"/>
        <v>0.6234541794039635</v>
      </c>
      <c r="W75" s="406">
        <f t="shared" si="10"/>
        <v>0.6041222668643056</v>
      </c>
      <c r="X75" s="406">
        <f t="shared" si="10"/>
        <v>0.5853897934731643</v>
      </c>
      <c r="Y75" s="406">
        <f t="shared" si="10"/>
        <v>0.5672381719701205</v>
      </c>
      <c r="Z75" s="407">
        <f t="shared" si="10"/>
        <v>0.5496493914439153</v>
      </c>
      <c r="AA75" s="48"/>
      <c r="AB75" s="48"/>
      <c r="AC75" s="23"/>
    </row>
    <row r="76" spans="2:28" ht="12">
      <c r="B76" s="9"/>
      <c r="E76" s="9"/>
      <c r="F76" s="49"/>
      <c r="G76" s="50"/>
      <c r="H76" s="50"/>
      <c r="I76" s="50"/>
      <c r="J76" s="50"/>
      <c r="K76" s="50"/>
      <c r="L76" s="50"/>
      <c r="M76" s="50"/>
      <c r="N76" s="50"/>
      <c r="O76" s="50"/>
      <c r="P76" s="50"/>
      <c r="Q76" s="51"/>
      <c r="R76" s="51"/>
      <c r="S76" s="51"/>
      <c r="T76" s="51"/>
      <c r="U76" s="51"/>
      <c r="V76" s="51"/>
      <c r="W76" s="51"/>
      <c r="X76" s="48"/>
      <c r="Y76" s="48"/>
      <c r="Z76" s="48"/>
      <c r="AA76" s="48"/>
      <c r="AB76" s="48"/>
    </row>
    <row r="77" spans="2:28" ht="12.75" thickBot="1">
      <c r="B77" s="9"/>
      <c r="E77" s="9"/>
      <c r="F77" s="52"/>
      <c r="G77" s="13"/>
      <c r="H77" s="13"/>
      <c r="I77" s="48"/>
      <c r="J77" s="48"/>
      <c r="K77" s="48"/>
      <c r="L77" s="48"/>
      <c r="M77" s="48"/>
      <c r="N77" s="48"/>
      <c r="O77" s="48"/>
      <c r="P77" s="48"/>
      <c r="Q77" s="48"/>
      <c r="R77" s="48"/>
      <c r="S77" s="48"/>
      <c r="T77" s="48"/>
      <c r="U77" s="48"/>
      <c r="V77" s="48"/>
      <c r="W77" s="48"/>
      <c r="X77" s="48"/>
      <c r="Y77" s="48"/>
      <c r="Z77" s="48"/>
      <c r="AA77" s="48"/>
      <c r="AB77" s="13"/>
    </row>
    <row r="78" spans="2:29" ht="15">
      <c r="B78" s="9"/>
      <c r="E78" s="10"/>
      <c r="F78" s="10"/>
      <c r="G78" s="530" t="s">
        <v>57</v>
      </c>
      <c r="H78" s="531"/>
      <c r="I78" s="531"/>
      <c r="J78" s="531"/>
      <c r="K78" s="531"/>
      <c r="L78" s="531"/>
      <c r="M78" s="531"/>
      <c r="N78" s="531"/>
      <c r="O78" s="531"/>
      <c r="P78" s="531"/>
      <c r="Q78" s="531"/>
      <c r="R78" s="531"/>
      <c r="S78" s="531"/>
      <c r="T78" s="531"/>
      <c r="U78" s="531"/>
      <c r="V78" s="531"/>
      <c r="W78" s="531"/>
      <c r="X78" s="531"/>
      <c r="Y78" s="531"/>
      <c r="Z78" s="531"/>
      <c r="AA78" s="515" t="s">
        <v>131</v>
      </c>
      <c r="AB78" s="515" t="s">
        <v>130</v>
      </c>
      <c r="AC78" s="515" t="s">
        <v>129</v>
      </c>
    </row>
    <row r="79" spans="2:29" ht="15.75" thickBot="1">
      <c r="B79" s="9"/>
      <c r="C79" s="10"/>
      <c r="D79" s="10"/>
      <c r="E79" s="10"/>
      <c r="F79" s="10"/>
      <c r="G79" s="299">
        <v>1</v>
      </c>
      <c r="H79" s="297">
        <v>2</v>
      </c>
      <c r="I79" s="297">
        <v>3</v>
      </c>
      <c r="J79" s="297">
        <v>4</v>
      </c>
      <c r="K79" s="297">
        <v>5</v>
      </c>
      <c r="L79" s="297">
        <v>6</v>
      </c>
      <c r="M79" s="297">
        <v>7</v>
      </c>
      <c r="N79" s="297">
        <v>8</v>
      </c>
      <c r="O79" s="297">
        <v>9</v>
      </c>
      <c r="P79" s="297">
        <v>10</v>
      </c>
      <c r="Q79" s="297">
        <v>11</v>
      </c>
      <c r="R79" s="297">
        <v>12</v>
      </c>
      <c r="S79" s="297">
        <v>13</v>
      </c>
      <c r="T79" s="297">
        <v>14</v>
      </c>
      <c r="U79" s="297">
        <v>15</v>
      </c>
      <c r="V79" s="297">
        <v>16</v>
      </c>
      <c r="W79" s="297">
        <v>17</v>
      </c>
      <c r="X79" s="297">
        <v>18</v>
      </c>
      <c r="Y79" s="297">
        <v>19</v>
      </c>
      <c r="Z79" s="298">
        <v>20</v>
      </c>
      <c r="AA79" s="520"/>
      <c r="AB79" s="520"/>
      <c r="AC79" s="520"/>
    </row>
    <row r="80" spans="2:29" ht="15">
      <c r="B80" s="524" t="s">
        <v>258</v>
      </c>
      <c r="C80" s="525"/>
      <c r="D80" s="525"/>
      <c r="E80" s="525"/>
      <c r="F80" s="526"/>
      <c r="G80" s="293">
        <f aca="true" t="shared" si="11" ref="G80:Z80">G72</f>
        <v>74165</v>
      </c>
      <c r="H80" s="292">
        <f t="shared" si="11"/>
        <v>53165</v>
      </c>
      <c r="I80" s="292">
        <f t="shared" si="11"/>
        <v>53165</v>
      </c>
      <c r="J80" s="292">
        <f t="shared" si="11"/>
        <v>57165</v>
      </c>
      <c r="K80" s="292">
        <f t="shared" si="11"/>
        <v>58165</v>
      </c>
      <c r="L80" s="292">
        <f t="shared" si="11"/>
        <v>21165</v>
      </c>
      <c r="M80" s="292">
        <f t="shared" si="11"/>
        <v>21165</v>
      </c>
      <c r="N80" s="292">
        <f t="shared" si="11"/>
        <v>30165</v>
      </c>
      <c r="O80" s="292">
        <f t="shared" si="11"/>
        <v>21165</v>
      </c>
      <c r="P80" s="292">
        <f t="shared" si="11"/>
        <v>41165</v>
      </c>
      <c r="Q80" s="292">
        <f t="shared" si="11"/>
        <v>26165</v>
      </c>
      <c r="R80" s="292">
        <f t="shared" si="11"/>
        <v>25165</v>
      </c>
      <c r="S80" s="292">
        <f t="shared" si="11"/>
        <v>21165</v>
      </c>
      <c r="T80" s="292">
        <f t="shared" si="11"/>
        <v>26165</v>
      </c>
      <c r="U80" s="292">
        <f t="shared" si="11"/>
        <v>21165</v>
      </c>
      <c r="V80" s="292">
        <f t="shared" si="11"/>
        <v>25165</v>
      </c>
      <c r="W80" s="292">
        <f t="shared" si="11"/>
        <v>26165</v>
      </c>
      <c r="X80" s="292">
        <f t="shared" si="11"/>
        <v>21165</v>
      </c>
      <c r="Y80" s="292">
        <f t="shared" si="11"/>
        <v>21165</v>
      </c>
      <c r="Z80" s="300">
        <f t="shared" si="11"/>
        <v>50165</v>
      </c>
      <c r="AA80" s="804">
        <f>AA73</f>
        <v>551991.6508001894</v>
      </c>
      <c r="AB80" s="805">
        <f>AB73</f>
        <v>437337.4061804754</v>
      </c>
      <c r="AC80" s="806">
        <f>AC73</f>
        <v>989329.0569806647</v>
      </c>
    </row>
    <row r="81" spans="2:29" ht="15">
      <c r="B81" s="521" t="s">
        <v>241</v>
      </c>
      <c r="C81" s="522"/>
      <c r="D81" s="522"/>
      <c r="E81" s="522"/>
      <c r="F81" s="523"/>
      <c r="G81" s="284">
        <f aca="true" t="shared" si="12" ref="G81:AC81">G67</f>
        <v>1665</v>
      </c>
      <c r="H81" s="285">
        <f t="shared" si="12"/>
        <v>1665</v>
      </c>
      <c r="I81" s="285">
        <f t="shared" si="12"/>
        <v>1665</v>
      </c>
      <c r="J81" s="285">
        <f t="shared" si="12"/>
        <v>1665</v>
      </c>
      <c r="K81" s="285">
        <f t="shared" si="12"/>
        <v>1665</v>
      </c>
      <c r="L81" s="285">
        <f t="shared" si="12"/>
        <v>1665</v>
      </c>
      <c r="M81" s="285">
        <f t="shared" si="12"/>
        <v>1665</v>
      </c>
      <c r="N81" s="285">
        <f t="shared" si="12"/>
        <v>1665</v>
      </c>
      <c r="O81" s="285">
        <f t="shared" si="12"/>
        <v>1665</v>
      </c>
      <c r="P81" s="285">
        <f t="shared" si="12"/>
        <v>1665</v>
      </c>
      <c r="Q81" s="285">
        <f t="shared" si="12"/>
        <v>1665</v>
      </c>
      <c r="R81" s="285">
        <f t="shared" si="12"/>
        <v>1665</v>
      </c>
      <c r="S81" s="285">
        <f t="shared" si="12"/>
        <v>1665</v>
      </c>
      <c r="T81" s="285">
        <f t="shared" si="12"/>
        <v>1665</v>
      </c>
      <c r="U81" s="285">
        <f t="shared" si="12"/>
        <v>1665</v>
      </c>
      <c r="V81" s="285">
        <f t="shared" si="12"/>
        <v>1665</v>
      </c>
      <c r="W81" s="285">
        <f t="shared" si="12"/>
        <v>1665</v>
      </c>
      <c r="X81" s="285">
        <f t="shared" si="12"/>
        <v>1665</v>
      </c>
      <c r="Y81" s="285">
        <f t="shared" si="12"/>
        <v>1665</v>
      </c>
      <c r="Z81" s="286">
        <f t="shared" si="12"/>
        <v>1665</v>
      </c>
      <c r="AA81" s="807">
        <f t="shared" si="12"/>
        <v>25097.30510143379</v>
      </c>
      <c r="AB81" s="808">
        <f t="shared" si="12"/>
        <v>28598.94489856619</v>
      </c>
      <c r="AC81" s="809">
        <f t="shared" si="12"/>
        <v>53696.249999999985</v>
      </c>
    </row>
    <row r="82" spans="2:29" ht="15">
      <c r="B82" s="527" t="str">
        <f>"Total amount payable to landowner"&amp;IF($C$8="yes"," (excluding GST)","")</f>
        <v>Total amount payable to landowner</v>
      </c>
      <c r="C82" s="522"/>
      <c r="D82" s="522"/>
      <c r="E82" s="522"/>
      <c r="F82" s="523"/>
      <c r="G82" s="284">
        <f aca="true" t="shared" si="13" ref="G82:AC82">G80-G81</f>
        <v>72500</v>
      </c>
      <c r="H82" s="285">
        <f t="shared" si="13"/>
        <v>51500</v>
      </c>
      <c r="I82" s="285">
        <f t="shared" si="13"/>
        <v>51500</v>
      </c>
      <c r="J82" s="285">
        <f t="shared" si="13"/>
        <v>55500</v>
      </c>
      <c r="K82" s="285">
        <f t="shared" si="13"/>
        <v>56500</v>
      </c>
      <c r="L82" s="285">
        <f t="shared" si="13"/>
        <v>19500</v>
      </c>
      <c r="M82" s="285">
        <f t="shared" si="13"/>
        <v>19500</v>
      </c>
      <c r="N82" s="285">
        <f t="shared" si="13"/>
        <v>28500</v>
      </c>
      <c r="O82" s="285">
        <f t="shared" si="13"/>
        <v>19500</v>
      </c>
      <c r="P82" s="285">
        <f t="shared" si="13"/>
        <v>39500</v>
      </c>
      <c r="Q82" s="285">
        <f t="shared" si="13"/>
        <v>24500</v>
      </c>
      <c r="R82" s="285">
        <f t="shared" si="13"/>
        <v>23500</v>
      </c>
      <c r="S82" s="285">
        <f t="shared" si="13"/>
        <v>19500</v>
      </c>
      <c r="T82" s="285">
        <f t="shared" si="13"/>
        <v>24500</v>
      </c>
      <c r="U82" s="285">
        <f t="shared" si="13"/>
        <v>19500</v>
      </c>
      <c r="V82" s="285">
        <f t="shared" si="13"/>
        <v>23500</v>
      </c>
      <c r="W82" s="285">
        <f t="shared" si="13"/>
        <v>24500</v>
      </c>
      <c r="X82" s="285">
        <f t="shared" si="13"/>
        <v>19500</v>
      </c>
      <c r="Y82" s="285">
        <f t="shared" si="13"/>
        <v>19500</v>
      </c>
      <c r="Z82" s="286">
        <f t="shared" si="13"/>
        <v>48500</v>
      </c>
      <c r="AA82" s="807">
        <f t="shared" si="13"/>
        <v>526894.3456987556</v>
      </c>
      <c r="AB82" s="808">
        <f t="shared" si="13"/>
        <v>408738.4612819092</v>
      </c>
      <c r="AC82" s="809">
        <f t="shared" si="13"/>
        <v>935632.8069806647</v>
      </c>
    </row>
    <row r="83" spans="2:29" ht="15">
      <c r="B83" s="528" t="str">
        <f>IF($C$47="yes","GST payable to landowner","")</f>
        <v>GST payable to landowner</v>
      </c>
      <c r="C83" s="528"/>
      <c r="D83" s="528"/>
      <c r="E83" s="528"/>
      <c r="F83" s="529"/>
      <c r="G83" s="284">
        <f>IF($C$47="Yes",G82*0.1,"")</f>
        <v>7250</v>
      </c>
      <c r="H83" s="285">
        <f aca="true" t="shared" si="14" ref="H83:AC83">IF($C$47="Yes",H82*0.1,"")</f>
        <v>5150</v>
      </c>
      <c r="I83" s="285">
        <f t="shared" si="14"/>
        <v>5150</v>
      </c>
      <c r="J83" s="285">
        <f t="shared" si="14"/>
        <v>5550</v>
      </c>
      <c r="K83" s="285">
        <f t="shared" si="14"/>
        <v>5650</v>
      </c>
      <c r="L83" s="285">
        <f t="shared" si="14"/>
        <v>1950</v>
      </c>
      <c r="M83" s="285">
        <f t="shared" si="14"/>
        <v>1950</v>
      </c>
      <c r="N83" s="285">
        <f t="shared" si="14"/>
        <v>2850</v>
      </c>
      <c r="O83" s="285">
        <f t="shared" si="14"/>
        <v>1950</v>
      </c>
      <c r="P83" s="285">
        <f t="shared" si="14"/>
        <v>3950</v>
      </c>
      <c r="Q83" s="285">
        <f t="shared" si="14"/>
        <v>2450</v>
      </c>
      <c r="R83" s="285">
        <f t="shared" si="14"/>
        <v>2350</v>
      </c>
      <c r="S83" s="285">
        <f t="shared" si="14"/>
        <v>1950</v>
      </c>
      <c r="T83" s="285">
        <f t="shared" si="14"/>
        <v>2450</v>
      </c>
      <c r="U83" s="285">
        <f t="shared" si="14"/>
        <v>1950</v>
      </c>
      <c r="V83" s="285">
        <f t="shared" si="14"/>
        <v>2350</v>
      </c>
      <c r="W83" s="285">
        <f t="shared" si="14"/>
        <v>2450</v>
      </c>
      <c r="X83" s="285">
        <f t="shared" si="14"/>
        <v>1950</v>
      </c>
      <c r="Y83" s="285">
        <f t="shared" si="14"/>
        <v>1950</v>
      </c>
      <c r="Z83" s="286">
        <f t="shared" si="14"/>
        <v>4850</v>
      </c>
      <c r="AA83" s="807">
        <f t="shared" si="14"/>
        <v>52689.434569875564</v>
      </c>
      <c r="AB83" s="808">
        <f t="shared" si="14"/>
        <v>40873.846128190926</v>
      </c>
      <c r="AC83" s="809">
        <f t="shared" si="14"/>
        <v>93563.28069806648</v>
      </c>
    </row>
    <row r="84" spans="2:29" ht="15.75" thickBot="1">
      <c r="B84" s="521" t="str">
        <f>IF($C$47="yes","Total amount payable to landowner (including GST)","")</f>
        <v>Total amount payable to landowner (including GST)</v>
      </c>
      <c r="C84" s="522"/>
      <c r="D84" s="522"/>
      <c r="E84" s="522"/>
      <c r="F84" s="523"/>
      <c r="G84" s="287">
        <f>IF($C$47="Yes",G82*1.1,"")</f>
        <v>79750</v>
      </c>
      <c r="H84" s="288">
        <f aca="true" t="shared" si="15" ref="H84:AC84">IF($C$47="Yes",H82*1.1,"")</f>
        <v>56650.00000000001</v>
      </c>
      <c r="I84" s="288">
        <f t="shared" si="15"/>
        <v>56650.00000000001</v>
      </c>
      <c r="J84" s="288">
        <f t="shared" si="15"/>
        <v>61050.00000000001</v>
      </c>
      <c r="K84" s="288">
        <f t="shared" si="15"/>
        <v>62150.00000000001</v>
      </c>
      <c r="L84" s="288">
        <f t="shared" si="15"/>
        <v>21450</v>
      </c>
      <c r="M84" s="288">
        <f t="shared" si="15"/>
        <v>21450</v>
      </c>
      <c r="N84" s="288">
        <f t="shared" si="15"/>
        <v>31350.000000000004</v>
      </c>
      <c r="O84" s="288">
        <f t="shared" si="15"/>
        <v>21450</v>
      </c>
      <c r="P84" s="288">
        <f t="shared" si="15"/>
        <v>43450</v>
      </c>
      <c r="Q84" s="288">
        <f t="shared" si="15"/>
        <v>26950.000000000004</v>
      </c>
      <c r="R84" s="288">
        <f t="shared" si="15"/>
        <v>25850.000000000004</v>
      </c>
      <c r="S84" s="288">
        <f t="shared" si="15"/>
        <v>21450</v>
      </c>
      <c r="T84" s="288">
        <f t="shared" si="15"/>
        <v>26950.000000000004</v>
      </c>
      <c r="U84" s="288">
        <f t="shared" si="15"/>
        <v>21450</v>
      </c>
      <c r="V84" s="288">
        <f t="shared" si="15"/>
        <v>25850.000000000004</v>
      </c>
      <c r="W84" s="288">
        <f t="shared" si="15"/>
        <v>26950.000000000004</v>
      </c>
      <c r="X84" s="288">
        <f t="shared" si="15"/>
        <v>21450</v>
      </c>
      <c r="Y84" s="288">
        <f t="shared" si="15"/>
        <v>21450</v>
      </c>
      <c r="Z84" s="289">
        <f t="shared" si="15"/>
        <v>53350.00000000001</v>
      </c>
      <c r="AA84" s="810">
        <f t="shared" si="15"/>
        <v>579583.7802686312</v>
      </c>
      <c r="AB84" s="811">
        <f t="shared" si="15"/>
        <v>449612.3074101002</v>
      </c>
      <c r="AC84" s="812">
        <f t="shared" si="15"/>
        <v>1029196.0876787313</v>
      </c>
    </row>
    <row r="91" ht="22.5">
      <c r="B91" s="8" t="s">
        <v>222</v>
      </c>
    </row>
    <row r="93" ht="12.75" thickBot="1"/>
    <row r="94" spans="1:7" ht="39.75" customHeight="1" thickBot="1">
      <c r="A94" s="770" t="s">
        <v>170</v>
      </c>
      <c r="B94" s="744" t="s">
        <v>259</v>
      </c>
      <c r="C94" s="745" t="s">
        <v>217</v>
      </c>
      <c r="D94" s="746" t="s">
        <v>218</v>
      </c>
      <c r="E94" s="747" t="s">
        <v>219</v>
      </c>
      <c r="F94" s="748" t="s">
        <v>220</v>
      </c>
      <c r="G94" s="748" t="s">
        <v>248</v>
      </c>
    </row>
    <row r="95" spans="1:7" ht="19.5" customHeight="1">
      <c r="A95" s="771"/>
      <c r="B95" s="473" t="s">
        <v>260</v>
      </c>
      <c r="C95" s="685">
        <v>200</v>
      </c>
      <c r="D95" s="686">
        <v>200</v>
      </c>
      <c r="E95" s="687">
        <v>200</v>
      </c>
      <c r="F95" s="688">
        <v>200</v>
      </c>
      <c r="G95" s="688">
        <v>200</v>
      </c>
    </row>
    <row r="96" spans="1:7" ht="19.5" customHeight="1" thickBot="1">
      <c r="A96" s="772"/>
      <c r="B96" s="474" t="s">
        <v>73</v>
      </c>
      <c r="C96" s="689">
        <v>450</v>
      </c>
      <c r="D96" s="690">
        <v>450</v>
      </c>
      <c r="E96" s="691">
        <v>450</v>
      </c>
      <c r="F96" s="692">
        <v>450</v>
      </c>
      <c r="G96" s="692">
        <v>450</v>
      </c>
    </row>
    <row r="97" spans="1:7" ht="12.75" thickBot="1">
      <c r="A97" s="59"/>
      <c r="B97" s="356"/>
      <c r="C97" s="65"/>
      <c r="D97" s="65"/>
      <c r="E97" s="65"/>
      <c r="F97" s="65"/>
      <c r="G97" s="65"/>
    </row>
    <row r="98" spans="1:7" ht="39.75" customHeight="1" thickBot="1">
      <c r="A98" s="716" t="s">
        <v>70</v>
      </c>
      <c r="B98" s="719" t="s">
        <v>261</v>
      </c>
      <c r="C98" s="720" t="s">
        <v>217</v>
      </c>
      <c r="D98" s="721" t="s">
        <v>218</v>
      </c>
      <c r="E98" s="722" t="s">
        <v>219</v>
      </c>
      <c r="F98" s="723" t="s">
        <v>220</v>
      </c>
      <c r="G98" s="723" t="s">
        <v>248</v>
      </c>
    </row>
    <row r="99" spans="1:7" ht="19.5" customHeight="1">
      <c r="A99" s="717"/>
      <c r="B99" s="475" t="s">
        <v>262</v>
      </c>
      <c r="C99" s="693">
        <v>18000</v>
      </c>
      <c r="D99" s="694">
        <v>18000</v>
      </c>
      <c r="E99" s="695">
        <v>18000</v>
      </c>
      <c r="F99" s="696">
        <v>18000</v>
      </c>
      <c r="G99" s="696">
        <v>18000</v>
      </c>
    </row>
    <row r="100" spans="1:7" ht="19.5" customHeight="1">
      <c r="A100" s="717"/>
      <c r="B100" s="128" t="s">
        <v>187</v>
      </c>
      <c r="C100" s="697">
        <v>3000</v>
      </c>
      <c r="D100" s="698">
        <v>3000</v>
      </c>
      <c r="E100" s="699">
        <v>3000</v>
      </c>
      <c r="F100" s="700">
        <v>3000</v>
      </c>
      <c r="G100" s="700">
        <v>3000</v>
      </c>
    </row>
    <row r="101" spans="1:7" ht="19.5" customHeight="1">
      <c r="A101" s="717"/>
      <c r="B101" s="481" t="s">
        <v>263</v>
      </c>
      <c r="C101" s="486">
        <v>2775</v>
      </c>
      <c r="D101" s="486">
        <v>2775</v>
      </c>
      <c r="E101" s="486">
        <v>2775</v>
      </c>
      <c r="F101" s="486">
        <v>2775</v>
      </c>
      <c r="G101" s="486">
        <v>2775</v>
      </c>
    </row>
    <row r="102" spans="1:7" ht="19.5" customHeight="1">
      <c r="A102" s="717"/>
      <c r="B102" s="128" t="s">
        <v>186</v>
      </c>
      <c r="C102" s="697">
        <v>1000</v>
      </c>
      <c r="D102" s="698">
        <v>1000</v>
      </c>
      <c r="E102" s="699">
        <v>1000</v>
      </c>
      <c r="F102" s="700">
        <v>1000</v>
      </c>
      <c r="G102" s="700">
        <v>1000</v>
      </c>
    </row>
    <row r="103" spans="1:7" ht="19.5" customHeight="1">
      <c r="A103" s="717"/>
      <c r="B103" s="128" t="s">
        <v>190</v>
      </c>
      <c r="C103" s="697">
        <v>2000</v>
      </c>
      <c r="D103" s="697">
        <v>2000</v>
      </c>
      <c r="E103" s="697">
        <v>2000</v>
      </c>
      <c r="F103" s="697">
        <v>2000</v>
      </c>
      <c r="G103" s="700">
        <v>2000</v>
      </c>
    </row>
    <row r="104" spans="1:7" ht="19.5" customHeight="1" thickBot="1">
      <c r="A104" s="717"/>
      <c r="B104" s="765" t="s">
        <v>264</v>
      </c>
      <c r="C104" s="766">
        <f>SUM(C99:C103)</f>
        <v>26775</v>
      </c>
      <c r="D104" s="767">
        <f>SUM(D99:D103)</f>
        <v>26775</v>
      </c>
      <c r="E104" s="768">
        <f>SUM(E99:E103)</f>
        <v>26775</v>
      </c>
      <c r="F104" s="769">
        <f>SUM(F99:F103)</f>
        <v>26775</v>
      </c>
      <c r="G104" s="769">
        <f>SUM(G99:G103)</f>
        <v>26775</v>
      </c>
    </row>
    <row r="105" spans="1:7" ht="19.5" customHeight="1">
      <c r="A105" s="717"/>
      <c r="B105" s="467" t="s">
        <v>242</v>
      </c>
      <c r="C105" s="701">
        <v>0.1</v>
      </c>
      <c r="D105" s="702">
        <v>0.1</v>
      </c>
      <c r="E105" s="703">
        <v>0.1</v>
      </c>
      <c r="F105" s="704">
        <v>0.1</v>
      </c>
      <c r="G105" s="704">
        <v>0.1</v>
      </c>
    </row>
    <row r="106" spans="1:7" ht="19.5" customHeight="1">
      <c r="A106" s="717"/>
      <c r="B106" s="427" t="s">
        <v>243</v>
      </c>
      <c r="C106" s="459">
        <f>C104*C105</f>
        <v>2677.5</v>
      </c>
      <c r="D106" s="429">
        <f>D104*D105</f>
        <v>2677.5</v>
      </c>
      <c r="E106" s="428">
        <f>E104*E105</f>
        <v>2677.5</v>
      </c>
      <c r="F106" s="460">
        <f>F104*F105</f>
        <v>2677.5</v>
      </c>
      <c r="G106" s="460">
        <f>G104*G105</f>
        <v>2677.5</v>
      </c>
    </row>
    <row r="107" spans="1:7" ht="19.5" customHeight="1" thickBot="1">
      <c r="A107" s="717"/>
      <c r="B107" s="724" t="s">
        <v>265</v>
      </c>
      <c r="C107" s="725">
        <f>SUM(C104+C106)</f>
        <v>29452.5</v>
      </c>
      <c r="D107" s="726">
        <f>SUM(D104+D106)</f>
        <v>29452.5</v>
      </c>
      <c r="E107" s="727">
        <f>SUM(E104+E106)</f>
        <v>29452.5</v>
      </c>
      <c r="F107" s="728">
        <f>SUM(F104+F106)</f>
        <v>29452.5</v>
      </c>
      <c r="G107" s="728">
        <f>SUM(G104+G106)</f>
        <v>29452.5</v>
      </c>
    </row>
    <row r="108" spans="1:7" ht="19.5" customHeight="1" thickBot="1">
      <c r="A108" s="717"/>
      <c r="B108" s="365"/>
      <c r="C108" s="272"/>
      <c r="D108" s="273"/>
      <c r="E108" s="273"/>
      <c r="F108" s="273"/>
      <c r="G108" s="273"/>
    </row>
    <row r="109" spans="1:7" ht="39.75" customHeight="1" thickBot="1">
      <c r="A109" s="717"/>
      <c r="B109" s="719" t="s">
        <v>191</v>
      </c>
      <c r="C109" s="720" t="s">
        <v>217</v>
      </c>
      <c r="D109" s="721" t="s">
        <v>218</v>
      </c>
      <c r="E109" s="722" t="s">
        <v>219</v>
      </c>
      <c r="F109" s="723" t="s">
        <v>220</v>
      </c>
      <c r="G109" s="723" t="s">
        <v>248</v>
      </c>
    </row>
    <row r="110" spans="1:7" ht="19.5" customHeight="1">
      <c r="A110" s="717"/>
      <c r="B110" s="475" t="s">
        <v>85</v>
      </c>
      <c r="C110" s="705">
        <v>10000</v>
      </c>
      <c r="D110" s="706">
        <v>5000</v>
      </c>
      <c r="E110" s="707">
        <v>0</v>
      </c>
      <c r="F110" s="708">
        <v>0</v>
      </c>
      <c r="G110" s="708">
        <v>0</v>
      </c>
    </row>
    <row r="111" spans="1:7" ht="19.5" customHeight="1">
      <c r="A111" s="717"/>
      <c r="B111" s="128" t="s">
        <v>59</v>
      </c>
      <c r="C111" s="461">
        <f>C110*C95</f>
        <v>2000000</v>
      </c>
      <c r="D111" s="432">
        <f>D110*D95</f>
        <v>1000000</v>
      </c>
      <c r="E111" s="431">
        <f>E110*E95</f>
        <v>0</v>
      </c>
      <c r="F111" s="462">
        <f>F110*F95</f>
        <v>0</v>
      </c>
      <c r="G111" s="462">
        <f>G110*G95</f>
        <v>0</v>
      </c>
    </row>
    <row r="112" spans="1:7" ht="19.5" customHeight="1">
      <c r="A112" s="717"/>
      <c r="B112" s="128" t="s">
        <v>195</v>
      </c>
      <c r="C112" s="697">
        <v>0</v>
      </c>
      <c r="D112" s="698">
        <v>0</v>
      </c>
      <c r="E112" s="699">
        <v>0</v>
      </c>
      <c r="F112" s="700">
        <v>0</v>
      </c>
      <c r="G112" s="700">
        <v>0</v>
      </c>
    </row>
    <row r="113" spans="1:7" ht="19.5" customHeight="1" thickBot="1">
      <c r="A113" s="718"/>
      <c r="B113" s="729" t="s">
        <v>71</v>
      </c>
      <c r="C113" s="730">
        <f>C111+C112</f>
        <v>2000000</v>
      </c>
      <c r="D113" s="731">
        <f>D111+D112</f>
        <v>1000000</v>
      </c>
      <c r="E113" s="732">
        <f>E111+E112</f>
        <v>0</v>
      </c>
      <c r="F113" s="733">
        <f>F111+F112</f>
        <v>0</v>
      </c>
      <c r="G113" s="733">
        <f>G111+G112</f>
        <v>0</v>
      </c>
    </row>
    <row r="114" spans="1:7" ht="15.75" thickBot="1">
      <c r="A114" s="70"/>
      <c r="B114" s="367"/>
      <c r="C114" s="67"/>
      <c r="D114" s="67"/>
      <c r="E114" s="67"/>
      <c r="F114" s="67"/>
      <c r="G114" s="67"/>
    </row>
    <row r="115" spans="1:7" ht="39.75" customHeight="1" thickBot="1">
      <c r="A115" s="653" t="s">
        <v>69</v>
      </c>
      <c r="B115" s="652" t="s">
        <v>149</v>
      </c>
      <c r="C115" s="655" t="s">
        <v>217</v>
      </c>
      <c r="D115" s="656" t="s">
        <v>218</v>
      </c>
      <c r="E115" s="657" t="s">
        <v>219</v>
      </c>
      <c r="F115" s="658" t="s">
        <v>220</v>
      </c>
      <c r="G115" s="659" t="s">
        <v>248</v>
      </c>
    </row>
    <row r="116" spans="1:7" ht="32.25" customHeight="1" thickBot="1">
      <c r="A116" s="654"/>
      <c r="B116" s="476" t="s">
        <v>192</v>
      </c>
      <c r="C116" s="709">
        <v>903273</v>
      </c>
      <c r="D116" s="709">
        <v>903273</v>
      </c>
      <c r="E116" s="709">
        <v>903273</v>
      </c>
      <c r="F116" s="710">
        <v>903273</v>
      </c>
      <c r="G116" s="710">
        <v>903273</v>
      </c>
    </row>
    <row r="117" spans="1:7" ht="15.75" thickBot="1">
      <c r="A117" s="70"/>
      <c r="B117" s="367"/>
      <c r="C117" s="67"/>
      <c r="D117" s="67"/>
      <c r="E117" s="67"/>
      <c r="F117" s="67"/>
      <c r="G117" s="67"/>
    </row>
    <row r="118" spans="1:7" ht="39.75" customHeight="1" thickBot="1">
      <c r="A118" s="749" t="s">
        <v>78</v>
      </c>
      <c r="B118" s="744" t="s">
        <v>133</v>
      </c>
      <c r="C118" s="745" t="s">
        <v>217</v>
      </c>
      <c r="D118" s="746" t="s">
        <v>218</v>
      </c>
      <c r="E118" s="747" t="s">
        <v>219</v>
      </c>
      <c r="F118" s="748" t="s">
        <v>220</v>
      </c>
      <c r="G118" s="748" t="s">
        <v>248</v>
      </c>
    </row>
    <row r="119" spans="1:7" ht="19.5" customHeight="1">
      <c r="A119" s="750"/>
      <c r="B119" s="660" t="s">
        <v>149</v>
      </c>
      <c r="C119" s="661">
        <f>C116</f>
        <v>903273</v>
      </c>
      <c r="D119" s="662">
        <f>D116</f>
        <v>903273</v>
      </c>
      <c r="E119" s="663">
        <f>E116</f>
        <v>903273</v>
      </c>
      <c r="F119" s="664">
        <f>F116</f>
        <v>903273</v>
      </c>
      <c r="G119" s="664">
        <f>G116</f>
        <v>903273</v>
      </c>
    </row>
    <row r="120" spans="1:7" ht="19.5" customHeight="1">
      <c r="A120" s="750"/>
      <c r="B120" s="734" t="s">
        <v>266</v>
      </c>
      <c r="C120" s="735">
        <f>C107</f>
        <v>29452.5</v>
      </c>
      <c r="D120" s="736">
        <f>D107</f>
        <v>29452.5</v>
      </c>
      <c r="E120" s="737">
        <f>E107</f>
        <v>29452.5</v>
      </c>
      <c r="F120" s="738">
        <f>F107</f>
        <v>29452.5</v>
      </c>
      <c r="G120" s="738">
        <f>G107</f>
        <v>29452.5</v>
      </c>
    </row>
    <row r="121" spans="1:7" ht="19.5" customHeight="1" thickBot="1">
      <c r="A121" s="750"/>
      <c r="B121" s="739" t="s">
        <v>71</v>
      </c>
      <c r="C121" s="740">
        <f>C113</f>
        <v>2000000</v>
      </c>
      <c r="D121" s="741">
        <f>D113</f>
        <v>1000000</v>
      </c>
      <c r="E121" s="742">
        <f>E113</f>
        <v>0</v>
      </c>
      <c r="F121" s="743">
        <f>F113</f>
        <v>0</v>
      </c>
      <c r="G121" s="743">
        <f>G113</f>
        <v>0</v>
      </c>
    </row>
    <row r="122" spans="1:7" ht="19.5" customHeight="1" thickBot="1">
      <c r="A122" s="750"/>
      <c r="B122" s="436" t="s">
        <v>143</v>
      </c>
      <c r="C122" s="437">
        <f>C119+C120+C121</f>
        <v>2932725.5</v>
      </c>
      <c r="D122" s="438">
        <f>D119+D120+D121</f>
        <v>1932725.5</v>
      </c>
      <c r="E122" s="439">
        <f>E119+E120+E121</f>
        <v>932725.5</v>
      </c>
      <c r="F122" s="463">
        <f>F119+F120+F121</f>
        <v>932725.5</v>
      </c>
      <c r="G122" s="463">
        <f>G119+G120+G121</f>
        <v>932725.5</v>
      </c>
    </row>
    <row r="123" spans="1:7" ht="19.5" customHeight="1">
      <c r="A123" s="750"/>
      <c r="B123" s="477" t="s">
        <v>223</v>
      </c>
      <c r="C123" s="701">
        <v>0.1</v>
      </c>
      <c r="D123" s="702">
        <v>0.1</v>
      </c>
      <c r="E123" s="703">
        <v>0.2</v>
      </c>
      <c r="F123" s="704">
        <v>0.1</v>
      </c>
      <c r="G123" s="704">
        <v>0</v>
      </c>
    </row>
    <row r="124" spans="1:7" ht="19.5" customHeight="1" thickBot="1">
      <c r="A124" s="750"/>
      <c r="B124" s="441" t="s">
        <v>199</v>
      </c>
      <c r="C124" s="442">
        <f>C122*C123</f>
        <v>293272.55</v>
      </c>
      <c r="D124" s="443">
        <f>D122*D123</f>
        <v>193272.55000000002</v>
      </c>
      <c r="E124" s="444">
        <f>E122*E123</f>
        <v>186545.1</v>
      </c>
      <c r="F124" s="464">
        <f>F122*F123</f>
        <v>93272.55</v>
      </c>
      <c r="G124" s="464">
        <f>G122*G123</f>
        <v>0</v>
      </c>
    </row>
    <row r="125" spans="1:7" ht="19.5" customHeight="1" thickBot="1">
      <c r="A125" s="751"/>
      <c r="B125" s="752" t="s">
        <v>200</v>
      </c>
      <c r="C125" s="753">
        <f>C122+C124</f>
        <v>3225998.05</v>
      </c>
      <c r="D125" s="754">
        <f>D122+D124</f>
        <v>2125998.05</v>
      </c>
      <c r="E125" s="755">
        <f>E122+E124</f>
        <v>1119270.6</v>
      </c>
      <c r="F125" s="756">
        <f>F122+F124</f>
        <v>1025998.05</v>
      </c>
      <c r="G125" s="756">
        <f>G122+G124</f>
        <v>932725.5</v>
      </c>
    </row>
    <row r="126" spans="1:7" ht="13.5" thickBot="1">
      <c r="A126" s="420"/>
      <c r="B126" s="375"/>
      <c r="C126" s="67"/>
      <c r="D126" s="67"/>
      <c r="E126" s="67"/>
      <c r="F126" s="67"/>
      <c r="G126" s="67"/>
    </row>
    <row r="127" spans="1:7" ht="39.75" customHeight="1" thickBot="1">
      <c r="A127" s="762" t="s">
        <v>77</v>
      </c>
      <c r="B127" s="744" t="s">
        <v>58</v>
      </c>
      <c r="C127" s="745" t="s">
        <v>217</v>
      </c>
      <c r="D127" s="746" t="s">
        <v>218</v>
      </c>
      <c r="E127" s="747" t="s">
        <v>219</v>
      </c>
      <c r="F127" s="748" t="s">
        <v>220</v>
      </c>
      <c r="G127" s="748" t="s">
        <v>248</v>
      </c>
    </row>
    <row r="128" spans="1:7" ht="19.5" customHeight="1">
      <c r="A128" s="763"/>
      <c r="B128" s="660" t="s">
        <v>74</v>
      </c>
      <c r="C128" s="661">
        <f aca="true" t="shared" si="16" ref="C128:F130">C119/C$96</f>
        <v>2007.2733333333333</v>
      </c>
      <c r="D128" s="662">
        <f t="shared" si="16"/>
        <v>2007.2733333333333</v>
      </c>
      <c r="E128" s="663">
        <f t="shared" si="16"/>
        <v>2007.2733333333333</v>
      </c>
      <c r="F128" s="664">
        <f t="shared" si="16"/>
        <v>2007.2733333333333</v>
      </c>
      <c r="G128" s="664">
        <f>G119/G$96</f>
        <v>2007.2733333333333</v>
      </c>
    </row>
    <row r="129" spans="1:7" ht="19.5" customHeight="1">
      <c r="A129" s="763"/>
      <c r="B129" s="128" t="s">
        <v>268</v>
      </c>
      <c r="C129" s="446">
        <f t="shared" si="16"/>
        <v>65.45</v>
      </c>
      <c r="D129" s="447">
        <f t="shared" si="16"/>
        <v>65.45</v>
      </c>
      <c r="E129" s="448">
        <f t="shared" si="16"/>
        <v>65.45</v>
      </c>
      <c r="F129" s="465">
        <f t="shared" si="16"/>
        <v>65.45</v>
      </c>
      <c r="G129" s="465">
        <f>G120/G$96</f>
        <v>65.45</v>
      </c>
    </row>
    <row r="130" spans="1:7" ht="19.5" customHeight="1">
      <c r="A130" s="763"/>
      <c r="B130" s="450" t="s">
        <v>197</v>
      </c>
      <c r="C130" s="446">
        <f t="shared" si="16"/>
        <v>4444.444444444444</v>
      </c>
      <c r="D130" s="447">
        <f t="shared" si="16"/>
        <v>2222.222222222222</v>
      </c>
      <c r="E130" s="448">
        <f t="shared" si="16"/>
        <v>0</v>
      </c>
      <c r="F130" s="465">
        <f t="shared" si="16"/>
        <v>0</v>
      </c>
      <c r="G130" s="465">
        <f>G121/G$96</f>
        <v>0</v>
      </c>
    </row>
    <row r="131" spans="1:7" ht="19.5" customHeight="1">
      <c r="A131" s="763"/>
      <c r="B131" s="451" t="s">
        <v>144</v>
      </c>
      <c r="C131" s="452">
        <f aca="true" t="shared" si="17" ref="C131:F132">C124/C$96</f>
        <v>651.7167777777778</v>
      </c>
      <c r="D131" s="453">
        <f t="shared" si="17"/>
        <v>429.4945555555556</v>
      </c>
      <c r="E131" s="454">
        <f t="shared" si="17"/>
        <v>414.54466666666667</v>
      </c>
      <c r="F131" s="466">
        <f t="shared" si="17"/>
        <v>207.27233333333334</v>
      </c>
      <c r="G131" s="466">
        <f>G124/G$96</f>
        <v>0</v>
      </c>
    </row>
    <row r="132" spans="1:7" ht="19.5" customHeight="1">
      <c r="A132" s="763"/>
      <c r="B132" s="776" t="s">
        <v>198</v>
      </c>
      <c r="C132" s="777">
        <f t="shared" si="17"/>
        <v>7168.884555555555</v>
      </c>
      <c r="D132" s="778">
        <f t="shared" si="17"/>
        <v>4724.440111111111</v>
      </c>
      <c r="E132" s="779">
        <f t="shared" si="17"/>
        <v>2487.268</v>
      </c>
      <c r="F132" s="780">
        <f t="shared" si="17"/>
        <v>2279.9956666666667</v>
      </c>
      <c r="G132" s="780">
        <f>G125/G$96</f>
        <v>2072.7233333333334</v>
      </c>
    </row>
    <row r="133" spans="1:7" ht="19.5" customHeight="1">
      <c r="A133" s="763"/>
      <c r="B133" s="451"/>
      <c r="C133" s="456"/>
      <c r="D133" s="457"/>
      <c r="E133" s="457"/>
      <c r="F133" s="458"/>
      <c r="G133" s="458"/>
    </row>
    <row r="134" spans="1:7" ht="19.5" customHeight="1">
      <c r="A134" s="763"/>
      <c r="B134" s="711" t="s">
        <v>83</v>
      </c>
      <c r="C134" s="712">
        <v>1</v>
      </c>
      <c r="D134" s="713">
        <v>1</v>
      </c>
      <c r="E134" s="714">
        <v>0.75</v>
      </c>
      <c r="F134" s="715">
        <v>0.5</v>
      </c>
      <c r="G134" s="715">
        <v>1</v>
      </c>
    </row>
    <row r="135" spans="1:7" ht="19.5" customHeight="1">
      <c r="A135" s="763"/>
      <c r="B135" s="757" t="s">
        <v>202</v>
      </c>
      <c r="C135" s="758">
        <f>C125*C134</f>
        <v>3225998.05</v>
      </c>
      <c r="D135" s="759">
        <f>D125*D134</f>
        <v>2125998.05</v>
      </c>
      <c r="E135" s="760">
        <f>E125*E134</f>
        <v>839452.9500000001</v>
      </c>
      <c r="F135" s="761">
        <f>F125*F134</f>
        <v>512999.025</v>
      </c>
      <c r="G135" s="761">
        <f>G125*G134</f>
        <v>932725.5</v>
      </c>
    </row>
    <row r="136" spans="1:7" ht="34.5" customHeight="1">
      <c r="A136" s="763"/>
      <c r="B136" s="781" t="s">
        <v>239</v>
      </c>
      <c r="C136" s="782">
        <f>C125/(C134*C96)</f>
        <v>7168.884555555555</v>
      </c>
      <c r="D136" s="783">
        <f>D125/(D134*D96)</f>
        <v>4724.440111111111</v>
      </c>
      <c r="E136" s="784">
        <f>E125/(E134*E96)</f>
        <v>3316.357333333334</v>
      </c>
      <c r="F136" s="785">
        <f>F125/(F134*F96)</f>
        <v>4559.991333333333</v>
      </c>
      <c r="G136" s="785">
        <f>G125/(G134*G96)</f>
        <v>2072.7233333333334</v>
      </c>
    </row>
    <row r="137" spans="1:7" ht="34.5" customHeight="1">
      <c r="A137" s="763"/>
      <c r="B137" s="786" t="s">
        <v>234</v>
      </c>
      <c r="C137" s="787">
        <f>(C119*0.8)/(C134*C96)</f>
        <v>1605.8186666666668</v>
      </c>
      <c r="D137" s="788">
        <f>(D119*0.8)/(D134*D96)</f>
        <v>1605.8186666666668</v>
      </c>
      <c r="E137" s="789">
        <f>(E119*0.8)/(E134*E96)</f>
        <v>2141.0915555555557</v>
      </c>
      <c r="F137" s="790">
        <f>(F119*0.8)/(F134*F96)</f>
        <v>3211.6373333333336</v>
      </c>
      <c r="G137" s="790">
        <f>(G119*0.8)/(G134*G96)</f>
        <v>1605.8186666666668</v>
      </c>
    </row>
    <row r="138" spans="1:7" ht="34.5" customHeight="1" thickBot="1">
      <c r="A138" s="764"/>
      <c r="B138" s="791" t="s">
        <v>235</v>
      </c>
      <c r="C138" s="792">
        <f>C119/(C134*C96)</f>
        <v>2007.2733333333333</v>
      </c>
      <c r="D138" s="793">
        <f>D119/(D134*D96)</f>
        <v>2007.2733333333333</v>
      </c>
      <c r="E138" s="793">
        <f>E119/(E134*E96)</f>
        <v>2676.3644444444444</v>
      </c>
      <c r="F138" s="794">
        <f>F119/(F134*F96)</f>
        <v>4014.5466666666666</v>
      </c>
      <c r="G138" s="794">
        <f>G119/(G134*G96)</f>
        <v>2007.2733333333333</v>
      </c>
    </row>
  </sheetData>
  <sheetProtection selectLockedCells="1" selectUnlockedCells="1"/>
  <mergeCells count="38">
    <mergeCell ref="B84:F84"/>
    <mergeCell ref="B80:F80"/>
    <mergeCell ref="B81:F81"/>
    <mergeCell ref="B82:F82"/>
    <mergeCell ref="B83:F83"/>
    <mergeCell ref="G78:Z78"/>
    <mergeCell ref="AA78:AA79"/>
    <mergeCell ref="AB78:AB79"/>
    <mergeCell ref="AC78:AC79"/>
    <mergeCell ref="AA56:AA57"/>
    <mergeCell ref="AB56:AB57"/>
    <mergeCell ref="AC56:AC57"/>
    <mergeCell ref="G66:Z66"/>
    <mergeCell ref="G53:H53"/>
    <mergeCell ref="O53:X53"/>
    <mergeCell ref="B56:B57"/>
    <mergeCell ref="C56:E56"/>
    <mergeCell ref="F56:F57"/>
    <mergeCell ref="G56:Z56"/>
    <mergeCell ref="C50:E50"/>
    <mergeCell ref="O50:X50"/>
    <mergeCell ref="O51:X51"/>
    <mergeCell ref="G52:H52"/>
    <mergeCell ref="O52:X52"/>
    <mergeCell ref="O47:X47"/>
    <mergeCell ref="C48:E48"/>
    <mergeCell ref="O48:X48"/>
    <mergeCell ref="C49:E49"/>
    <mergeCell ref="A127:A138"/>
    <mergeCell ref="B7:B8"/>
    <mergeCell ref="C45:E45"/>
    <mergeCell ref="Y45:Y46"/>
    <mergeCell ref="C46:E46"/>
    <mergeCell ref="A94:A96"/>
    <mergeCell ref="A98:A113"/>
    <mergeCell ref="A115:A116"/>
    <mergeCell ref="A118:A125"/>
    <mergeCell ref="C47:E47"/>
  </mergeCells>
  <conditionalFormatting sqref="D68:D71 D58:D65">
    <cfRule type="expression" priority="1" dxfId="0" stopIfTrue="1">
      <formula>IF(ISBLANK(D58),FALSE,IF(C58&gt;D58,TRUE,FALSE))</formula>
    </cfRule>
  </conditionalFormatting>
  <conditionalFormatting sqref="C68:C71 C58:C65">
    <cfRule type="expression" priority="2" dxfId="0" stopIfTrue="1">
      <formula>IF(ISBLANK(D58),FALSE,IF(C58&gt;D58,TRUE,FALSE))</formula>
    </cfRule>
    <cfRule type="expression" priority="3" dxfId="0" stopIfTrue="1">
      <formula>IF(ISBLANK(B58),FALSE,IF(ISBLANK(C58),TRUE,FALSE))</formula>
    </cfRule>
  </conditionalFormatting>
  <conditionalFormatting sqref="B82:Z82">
    <cfRule type="expression" priority="4" dxfId="5" stopIfTrue="1">
      <formula>$C$8="no"</formula>
    </cfRule>
  </conditionalFormatting>
  <conditionalFormatting sqref="B84:Z84">
    <cfRule type="expression" priority="5" dxfId="5" stopIfTrue="1">
      <formula>$C$8="yes"</formula>
    </cfRule>
  </conditionalFormatting>
  <conditionalFormatting sqref="F68:F71 F58:F65">
    <cfRule type="cellIs" priority="6" dxfId="0" operator="lessThan" stopIfTrue="1">
      <formula>0</formula>
    </cfRule>
  </conditionalFormatting>
  <dataValidations count="5">
    <dataValidation type="list" allowBlank="1" showInputMessage="1" showErrorMessage="1" sqref="C47">
      <formula1>YesNo</formula1>
    </dataValidation>
    <dataValidation type="list" allowBlank="1" showInputMessage="1" showErrorMessage="1" sqref="D68:E71">
      <formula1>$C$89:$C$90</formula1>
    </dataValidation>
    <dataValidation type="list" allowBlank="1" showInputMessage="1" showErrorMessage="1" sqref="C68:C71">
      <formula1>$C$90:$C$90</formula1>
    </dataValidation>
    <dataValidation type="list" showInputMessage="1" showErrorMessage="1" sqref="C58:C65">
      <formula1>$C$93:$C$112</formula1>
    </dataValidation>
    <dataValidation type="list" allowBlank="1" showInputMessage="1" showErrorMessage="1" sqref="D58:E65">
      <formula1>$C$93:$C$112</formula1>
    </dataValidation>
  </dataValidations>
  <printOptions/>
  <pageMargins left="0.75" right="0.75" top="1" bottom="1" header="0.5" footer="0.5"/>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B2:AG176"/>
  <sheetViews>
    <sheetView showGridLines="0" zoomScale="75" zoomScaleNormal="75" zoomScalePageLayoutView="0" workbookViewId="0" topLeftCell="A25">
      <selection activeCell="K10" sqref="K10"/>
    </sheetView>
  </sheetViews>
  <sheetFormatPr defaultColWidth="9.140625" defaultRowHeight="12.75"/>
  <cols>
    <col min="1" max="1" width="9.140625" style="11" customWidth="1"/>
    <col min="2" max="2" width="77.28125" style="9" customWidth="1"/>
    <col min="3" max="5" width="14.140625" style="9" customWidth="1"/>
    <col min="6" max="6" width="14.8515625" style="9" customWidth="1"/>
    <col min="7" max="23" width="12.7109375" style="9" customWidth="1"/>
    <col min="24" max="24" width="15.57421875" style="9" customWidth="1"/>
    <col min="25" max="26" width="12.7109375" style="9" customWidth="1"/>
    <col min="27" max="29" width="19.57421875" style="9" customWidth="1"/>
    <col min="30" max="30" width="7.57421875" style="9" customWidth="1"/>
    <col min="31" max="16384" width="9.140625" style="11" customWidth="1"/>
  </cols>
  <sheetData>
    <row r="1" ht="12.75"/>
    <row r="2" spans="2:30" ht="24" customHeight="1">
      <c r="B2" s="8" t="s">
        <v>204</v>
      </c>
      <c r="F2" s="10"/>
      <c r="G2" s="10"/>
      <c r="H2" s="10"/>
      <c r="I2" s="10"/>
      <c r="J2" s="10"/>
      <c r="K2" s="10"/>
      <c r="AA2" s="10"/>
      <c r="AB2" s="10"/>
      <c r="AC2" s="10"/>
      <c r="AD2" s="10"/>
    </row>
    <row r="3" spans="3:30" ht="12" customHeight="1">
      <c r="C3" s="11"/>
      <c r="D3" s="11"/>
      <c r="E3" s="12"/>
      <c r="F3" s="13"/>
      <c r="AA3" s="10"/>
      <c r="AB3" s="10"/>
      <c r="AC3" s="10"/>
      <c r="AD3" s="10"/>
    </row>
    <row r="4" spans="2:30" ht="24" customHeight="1">
      <c r="B4" s="14" t="s">
        <v>249</v>
      </c>
      <c r="C4" s="11"/>
      <c r="D4" s="11"/>
      <c r="E4" s="15"/>
      <c r="F4" s="16"/>
      <c r="O4" s="533"/>
      <c r="P4" s="533"/>
      <c r="Q4" s="533"/>
      <c r="R4" s="533"/>
      <c r="S4" s="533"/>
      <c r="T4" s="533"/>
      <c r="U4" s="533"/>
      <c r="V4" s="533"/>
      <c r="W4" s="533"/>
      <c r="X4" s="533"/>
      <c r="Y4" s="533"/>
      <c r="Z4" s="533"/>
      <c r="AA4" s="10"/>
      <c r="AB4" s="10"/>
      <c r="AC4" s="10"/>
      <c r="AD4" s="10"/>
    </row>
    <row r="5" spans="2:26" ht="12" customHeight="1">
      <c r="B5" s="11"/>
      <c r="C5" s="11"/>
      <c r="D5" s="11"/>
      <c r="E5" s="15"/>
      <c r="F5" s="16"/>
      <c r="O5" s="83"/>
      <c r="P5" s="83"/>
      <c r="Q5" s="83"/>
      <c r="R5" s="83"/>
      <c r="S5" s="83"/>
      <c r="T5" s="83"/>
      <c r="U5" s="83"/>
      <c r="V5" s="83"/>
      <c r="W5" s="83"/>
      <c r="X5" s="83"/>
      <c r="Y5" s="83"/>
      <c r="Z5" s="83"/>
    </row>
    <row r="6" spans="2:30" ht="24" customHeight="1">
      <c r="B6" s="382" t="s">
        <v>252</v>
      </c>
      <c r="C6" s="813"/>
      <c r="D6" s="813"/>
      <c r="E6" s="813"/>
      <c r="F6" s="19"/>
      <c r="J6" s="270"/>
      <c r="K6" s="270"/>
      <c r="O6" s="83"/>
      <c r="P6" s="83"/>
      <c r="Q6" s="83"/>
      <c r="R6" s="83"/>
      <c r="S6" s="83"/>
      <c r="T6" s="83"/>
      <c r="U6" s="83"/>
      <c r="V6" s="324"/>
      <c r="W6" s="324"/>
      <c r="X6" s="83"/>
      <c r="Y6" s="489"/>
      <c r="Z6" s="83"/>
      <c r="AA6" s="10"/>
      <c r="AB6" s="10"/>
      <c r="AC6" s="10"/>
      <c r="AD6" s="10"/>
    </row>
    <row r="7" spans="2:30" ht="24" customHeight="1">
      <c r="B7" s="382" t="s">
        <v>253</v>
      </c>
      <c r="C7" s="813"/>
      <c r="D7" s="813"/>
      <c r="E7" s="813"/>
      <c r="F7" s="19"/>
      <c r="O7" s="83"/>
      <c r="P7" s="83"/>
      <c r="Q7" s="83"/>
      <c r="R7" s="83"/>
      <c r="S7" s="83"/>
      <c r="T7" s="83"/>
      <c r="U7" s="83"/>
      <c r="V7" s="324"/>
      <c r="W7" s="324"/>
      <c r="X7" s="83"/>
      <c r="Y7" s="489"/>
      <c r="Z7" s="83"/>
      <c r="AA7" s="10"/>
      <c r="AB7" s="10"/>
      <c r="AC7" s="10"/>
      <c r="AD7" s="10"/>
    </row>
    <row r="8" spans="2:30" ht="24" customHeight="1">
      <c r="B8" s="382" t="s">
        <v>107</v>
      </c>
      <c r="C8" s="814" t="s">
        <v>104</v>
      </c>
      <c r="D8" s="815"/>
      <c r="E8" s="816"/>
      <c r="F8" s="19"/>
      <c r="O8" s="502"/>
      <c r="P8" s="502"/>
      <c r="Q8" s="502"/>
      <c r="R8" s="502"/>
      <c r="S8" s="502"/>
      <c r="T8" s="502"/>
      <c r="U8" s="502"/>
      <c r="V8" s="502"/>
      <c r="W8" s="502"/>
      <c r="X8" s="502"/>
      <c r="Y8" s="290"/>
      <c r="Z8" s="83"/>
      <c r="AA8" s="10"/>
      <c r="AB8" s="10"/>
      <c r="AC8" s="10"/>
      <c r="AD8" s="10"/>
    </row>
    <row r="9" spans="2:30" ht="24" customHeight="1">
      <c r="B9" s="382" t="s">
        <v>175</v>
      </c>
      <c r="C9" s="813"/>
      <c r="D9" s="813"/>
      <c r="E9" s="813"/>
      <c r="F9" s="19"/>
      <c r="H9" s="20" t="s">
        <v>124</v>
      </c>
      <c r="O9" s="503"/>
      <c r="P9" s="503"/>
      <c r="Q9" s="503"/>
      <c r="R9" s="503"/>
      <c r="S9" s="503"/>
      <c r="T9" s="503"/>
      <c r="U9" s="503"/>
      <c r="V9" s="503"/>
      <c r="W9" s="503"/>
      <c r="X9" s="503"/>
      <c r="Y9" s="83"/>
      <c r="Z9" s="83"/>
      <c r="AA9" s="10"/>
      <c r="AB9" s="10"/>
      <c r="AC9" s="10"/>
      <c r="AD9" s="10"/>
    </row>
    <row r="10" spans="2:30" ht="24" customHeight="1">
      <c r="B10" s="382" t="s">
        <v>254</v>
      </c>
      <c r="C10" s="501"/>
      <c r="D10" s="501"/>
      <c r="E10" s="501"/>
      <c r="F10" s="19"/>
      <c r="H10" s="20" t="s">
        <v>125</v>
      </c>
      <c r="O10" s="49"/>
      <c r="P10" s="49"/>
      <c r="Q10" s="49"/>
      <c r="R10" s="49"/>
      <c r="S10" s="49"/>
      <c r="T10" s="49"/>
      <c r="U10" s="49"/>
      <c r="V10" s="325"/>
      <c r="W10" s="325"/>
      <c r="X10" s="49"/>
      <c r="Y10" s="83"/>
      <c r="Z10" s="83"/>
      <c r="AA10" s="10"/>
      <c r="AB10" s="10"/>
      <c r="AC10" s="10"/>
      <c r="AD10" s="10"/>
    </row>
    <row r="11" spans="2:30" ht="24" customHeight="1">
      <c r="B11" s="382" t="s">
        <v>255</v>
      </c>
      <c r="C11" s="501"/>
      <c r="D11" s="501"/>
      <c r="E11" s="501"/>
      <c r="L11" s="11"/>
      <c r="M11" s="11"/>
      <c r="N11" s="11"/>
      <c r="O11" s="502"/>
      <c r="P11" s="503"/>
      <c r="Q11" s="503"/>
      <c r="R11" s="503"/>
      <c r="S11" s="503"/>
      <c r="T11" s="503"/>
      <c r="U11" s="503"/>
      <c r="V11" s="503"/>
      <c r="W11" s="503"/>
      <c r="X11" s="503"/>
      <c r="Y11" s="290"/>
      <c r="Z11" s="83"/>
      <c r="AA11" s="10"/>
      <c r="AB11" s="10"/>
      <c r="AC11" s="10"/>
      <c r="AD11" s="10"/>
    </row>
    <row r="12" spans="2:30" ht="23.25" customHeight="1">
      <c r="B12" s="275"/>
      <c r="C12" s="276"/>
      <c r="D12" s="276"/>
      <c r="E12" s="276"/>
      <c r="L12" s="11"/>
      <c r="M12" s="11"/>
      <c r="N12" s="11"/>
      <c r="O12" s="502"/>
      <c r="P12" s="503"/>
      <c r="Q12" s="503"/>
      <c r="R12" s="503"/>
      <c r="S12" s="503"/>
      <c r="T12" s="503"/>
      <c r="U12" s="503"/>
      <c r="V12" s="503"/>
      <c r="W12" s="503"/>
      <c r="X12" s="503"/>
      <c r="Y12" s="290"/>
      <c r="Z12" s="83"/>
      <c r="AA12" s="10"/>
      <c r="AB12" s="10"/>
      <c r="AC12" s="10"/>
      <c r="AD12" s="10"/>
    </row>
    <row r="13" spans="2:30" ht="23.25" customHeight="1">
      <c r="B13" s="275"/>
      <c r="C13" s="276"/>
      <c r="D13" s="276"/>
      <c r="E13" s="276"/>
      <c r="G13" s="878" t="s">
        <v>42</v>
      </c>
      <c r="H13" s="879"/>
      <c r="L13" s="11"/>
      <c r="M13" s="11"/>
      <c r="N13" s="11"/>
      <c r="O13" s="503"/>
      <c r="P13" s="503"/>
      <c r="Q13" s="503"/>
      <c r="R13" s="503"/>
      <c r="S13" s="503"/>
      <c r="T13" s="503"/>
      <c r="U13" s="503"/>
      <c r="V13" s="503"/>
      <c r="W13" s="503"/>
      <c r="X13" s="503"/>
      <c r="Y13" s="290"/>
      <c r="Z13" s="83"/>
      <c r="AA13" s="10"/>
      <c r="AB13" s="10"/>
      <c r="AC13" s="10"/>
      <c r="AD13" s="10"/>
    </row>
    <row r="14" spans="2:30" ht="23.25" customHeight="1">
      <c r="B14" s="275"/>
      <c r="C14" s="276"/>
      <c r="D14" s="276"/>
      <c r="E14" s="276"/>
      <c r="G14" s="509">
        <v>0.032</v>
      </c>
      <c r="H14" s="510"/>
      <c r="L14" s="11"/>
      <c r="M14" s="11"/>
      <c r="N14" s="11"/>
      <c r="O14" s="503"/>
      <c r="P14" s="503"/>
      <c r="Q14" s="503"/>
      <c r="R14" s="503"/>
      <c r="S14" s="503"/>
      <c r="T14" s="503"/>
      <c r="U14" s="503"/>
      <c r="V14" s="503"/>
      <c r="W14" s="503"/>
      <c r="X14" s="503"/>
      <c r="Y14" s="290"/>
      <c r="Z14" s="83"/>
      <c r="AA14" s="10"/>
      <c r="AB14" s="10"/>
      <c r="AC14" s="10"/>
      <c r="AD14" s="10"/>
    </row>
    <row r="15" spans="2:30" ht="23.25" customHeight="1">
      <c r="B15" s="275"/>
      <c r="C15" s="276"/>
      <c r="D15" s="276"/>
      <c r="E15" s="276"/>
      <c r="L15" s="194"/>
      <c r="M15" s="194"/>
      <c r="N15" s="194"/>
      <c r="O15" s="83"/>
      <c r="P15" s="83"/>
      <c r="Q15" s="83"/>
      <c r="R15" s="83"/>
      <c r="S15" s="83"/>
      <c r="T15" s="83"/>
      <c r="U15" s="83"/>
      <c r="V15" s="83"/>
      <c r="W15" s="83"/>
      <c r="X15" s="83"/>
      <c r="Y15" s="83"/>
      <c r="Z15" s="83"/>
      <c r="AA15" s="10"/>
      <c r="AB15" s="10"/>
      <c r="AC15" s="10"/>
      <c r="AD15" s="10"/>
    </row>
    <row r="16" spans="2:30" ht="23.25" customHeight="1" thickBot="1">
      <c r="B16" s="11"/>
      <c r="C16" s="11"/>
      <c r="D16" s="11"/>
      <c r="F16" s="19"/>
      <c r="V16" s="10"/>
      <c r="W16" s="10"/>
      <c r="X16" s="10"/>
      <c r="Y16" s="10"/>
      <c r="Z16" s="10"/>
      <c r="AA16" s="10"/>
      <c r="AB16" s="10"/>
      <c r="AC16" s="10"/>
      <c r="AD16" s="10"/>
    </row>
    <row r="17" spans="2:29" s="23" customFormat="1" ht="16.5" customHeight="1">
      <c r="B17" s="665" t="s">
        <v>176</v>
      </c>
      <c r="C17" s="513" t="s">
        <v>43</v>
      </c>
      <c r="D17" s="514"/>
      <c r="E17" s="514"/>
      <c r="F17" s="515" t="s">
        <v>171</v>
      </c>
      <c r="G17" s="517" t="s">
        <v>57</v>
      </c>
      <c r="H17" s="518"/>
      <c r="I17" s="518"/>
      <c r="J17" s="518"/>
      <c r="K17" s="518"/>
      <c r="L17" s="518"/>
      <c r="M17" s="518"/>
      <c r="N17" s="518"/>
      <c r="O17" s="518"/>
      <c r="P17" s="518"/>
      <c r="Q17" s="518"/>
      <c r="R17" s="518"/>
      <c r="S17" s="518"/>
      <c r="T17" s="518"/>
      <c r="U17" s="518"/>
      <c r="V17" s="518"/>
      <c r="W17" s="518"/>
      <c r="X17" s="518"/>
      <c r="Y17" s="518"/>
      <c r="Z17" s="519"/>
      <c r="AA17" s="515" t="s">
        <v>180</v>
      </c>
      <c r="AB17" s="515" t="s">
        <v>130</v>
      </c>
      <c r="AC17" s="515" t="s">
        <v>129</v>
      </c>
    </row>
    <row r="18" spans="2:29" s="23" customFormat="1" ht="66" customHeight="1" thickBot="1">
      <c r="B18" s="666"/>
      <c r="C18" s="265" t="s">
        <v>164</v>
      </c>
      <c r="D18" s="266" t="s">
        <v>165</v>
      </c>
      <c r="E18" s="283" t="s">
        <v>205</v>
      </c>
      <c r="F18" s="516"/>
      <c r="G18" s="267">
        <v>1</v>
      </c>
      <c r="H18" s="268">
        <v>2</v>
      </c>
      <c r="I18" s="268">
        <v>3</v>
      </c>
      <c r="J18" s="268">
        <v>4</v>
      </c>
      <c r="K18" s="268">
        <v>5</v>
      </c>
      <c r="L18" s="268">
        <v>6</v>
      </c>
      <c r="M18" s="268">
        <v>7</v>
      </c>
      <c r="N18" s="268">
        <v>8</v>
      </c>
      <c r="O18" s="268">
        <v>9</v>
      </c>
      <c r="P18" s="268">
        <v>10</v>
      </c>
      <c r="Q18" s="268">
        <v>11</v>
      </c>
      <c r="R18" s="268">
        <v>12</v>
      </c>
      <c r="S18" s="268">
        <v>13</v>
      </c>
      <c r="T18" s="268">
        <v>14</v>
      </c>
      <c r="U18" s="268">
        <v>15</v>
      </c>
      <c r="V18" s="268">
        <v>16</v>
      </c>
      <c r="W18" s="268">
        <v>17</v>
      </c>
      <c r="X18" s="268">
        <v>18</v>
      </c>
      <c r="Y18" s="268">
        <v>19</v>
      </c>
      <c r="Z18" s="269">
        <v>20</v>
      </c>
      <c r="AA18" s="520"/>
      <c r="AB18" s="520"/>
      <c r="AC18" s="520"/>
    </row>
    <row r="19" spans="2:29" s="23" customFormat="1" ht="19.5" customHeight="1">
      <c r="B19" s="865"/>
      <c r="C19" s="673"/>
      <c r="D19" s="673"/>
      <c r="E19" s="674"/>
      <c r="F19" s="675"/>
      <c r="G19" s="264">
        <f aca="true" t="shared" si="0" ref="G19:P32">IF(OR(ISBLANK($C19),$C19&gt;G$18),0,IF(AND(NOT(ISBLANK($D19)),G$18&gt;$D19),0,IF(MOD((G$18-$C19),MAX($E19,1))=0,$F19,0)))</f>
        <v>0</v>
      </c>
      <c r="H19" s="254">
        <f t="shared" si="0"/>
        <v>0</v>
      </c>
      <c r="I19" s="254">
        <f t="shared" si="0"/>
        <v>0</v>
      </c>
      <c r="J19" s="254">
        <f t="shared" si="0"/>
        <v>0</v>
      </c>
      <c r="K19" s="254">
        <f t="shared" si="0"/>
        <v>0</v>
      </c>
      <c r="L19" s="254">
        <f t="shared" si="0"/>
        <v>0</v>
      </c>
      <c r="M19" s="254">
        <f t="shared" si="0"/>
        <v>0</v>
      </c>
      <c r="N19" s="254">
        <f t="shared" si="0"/>
        <v>0</v>
      </c>
      <c r="O19" s="254">
        <f t="shared" si="0"/>
        <v>0</v>
      </c>
      <c r="P19" s="254">
        <f t="shared" si="0"/>
        <v>0</v>
      </c>
      <c r="Q19" s="254">
        <f aca="true" t="shared" si="1" ref="Q19:Z32">IF(OR(ISBLANK($C19),$C19&gt;Q$18),0,IF(AND(NOT(ISBLANK($D19)),Q$18&gt;$D19),0,IF(MOD((Q$18-$C19),MAX($E19,1))=0,$F19,0)))</f>
        <v>0</v>
      </c>
      <c r="R19" s="254">
        <f t="shared" si="1"/>
        <v>0</v>
      </c>
      <c r="S19" s="254">
        <f t="shared" si="1"/>
        <v>0</v>
      </c>
      <c r="T19" s="254">
        <f t="shared" si="1"/>
        <v>0</v>
      </c>
      <c r="U19" s="254">
        <f t="shared" si="1"/>
        <v>0</v>
      </c>
      <c r="V19" s="254">
        <f t="shared" si="1"/>
        <v>0</v>
      </c>
      <c r="W19" s="254">
        <f t="shared" si="1"/>
        <v>0</v>
      </c>
      <c r="X19" s="254">
        <f t="shared" si="1"/>
        <v>0</v>
      </c>
      <c r="Y19" s="254">
        <f t="shared" si="1"/>
        <v>0</v>
      </c>
      <c r="Z19" s="255">
        <f t="shared" si="1"/>
        <v>0</v>
      </c>
      <c r="AA19" s="801">
        <f>+SUMPRODUCT(G19:Z19,$G$42:$Z$42)</f>
        <v>0</v>
      </c>
      <c r="AB19" s="801">
        <f aca="true" t="shared" si="2" ref="AB19:AB32">(IF(ISBLANK(C19),0,IF(D19,0,((1+$G$14)^MOD($Z$18-C19,MAX(E19,1)))*((1+$G$14)^-$Z$18)*F19/((1+$G$14)^(MAX(E19,1))-1))))*(1+$G$14)</f>
        <v>0</v>
      </c>
      <c r="AC19" s="801">
        <f aca="true" t="shared" si="3" ref="AC19:AC32">+AA19+AB19</f>
        <v>0</v>
      </c>
    </row>
    <row r="20" spans="2:29" s="23" customFormat="1" ht="19.5" customHeight="1">
      <c r="B20" s="680"/>
      <c r="C20" s="677"/>
      <c r="D20" s="677"/>
      <c r="E20" s="678"/>
      <c r="F20" s="679"/>
      <c r="G20" s="257">
        <f t="shared" si="0"/>
        <v>0</v>
      </c>
      <c r="H20" s="34">
        <f t="shared" si="0"/>
        <v>0</v>
      </c>
      <c r="I20" s="34">
        <f t="shared" si="0"/>
        <v>0</v>
      </c>
      <c r="J20" s="34">
        <f t="shared" si="0"/>
        <v>0</v>
      </c>
      <c r="K20" s="34">
        <f t="shared" si="0"/>
        <v>0</v>
      </c>
      <c r="L20" s="34">
        <f t="shared" si="0"/>
        <v>0</v>
      </c>
      <c r="M20" s="34">
        <f t="shared" si="0"/>
        <v>0</v>
      </c>
      <c r="N20" s="34">
        <f t="shared" si="0"/>
        <v>0</v>
      </c>
      <c r="O20" s="34">
        <f t="shared" si="0"/>
        <v>0</v>
      </c>
      <c r="P20" s="34">
        <f t="shared" si="0"/>
        <v>0</v>
      </c>
      <c r="Q20" s="34">
        <f t="shared" si="1"/>
        <v>0</v>
      </c>
      <c r="R20" s="34">
        <f t="shared" si="1"/>
        <v>0</v>
      </c>
      <c r="S20" s="34">
        <f t="shared" si="1"/>
        <v>0</v>
      </c>
      <c r="T20" s="34">
        <f t="shared" si="1"/>
        <v>0</v>
      </c>
      <c r="U20" s="34">
        <f t="shared" si="1"/>
        <v>0</v>
      </c>
      <c r="V20" s="34">
        <f t="shared" si="1"/>
        <v>0</v>
      </c>
      <c r="W20" s="34">
        <f t="shared" si="1"/>
        <v>0</v>
      </c>
      <c r="X20" s="34">
        <f t="shared" si="1"/>
        <v>0</v>
      </c>
      <c r="Y20" s="34">
        <f t="shared" si="1"/>
        <v>0</v>
      </c>
      <c r="Z20" s="35">
        <f t="shared" si="1"/>
        <v>0</v>
      </c>
      <c r="AA20" s="802">
        <f>+SUMPRODUCT(G20:Z20,$G$42:$Z$42)</f>
        <v>0</v>
      </c>
      <c r="AB20" s="802">
        <f t="shared" si="2"/>
        <v>0</v>
      </c>
      <c r="AC20" s="802">
        <f t="shared" si="3"/>
        <v>0</v>
      </c>
    </row>
    <row r="21" spans="2:29" s="23" customFormat="1" ht="19.5" customHeight="1">
      <c r="B21" s="680"/>
      <c r="C21" s="677"/>
      <c r="D21" s="677"/>
      <c r="E21" s="678"/>
      <c r="F21" s="679"/>
      <c r="G21" s="257">
        <f t="shared" si="0"/>
        <v>0</v>
      </c>
      <c r="H21" s="34">
        <f t="shared" si="0"/>
        <v>0</v>
      </c>
      <c r="I21" s="34">
        <f t="shared" si="0"/>
        <v>0</v>
      </c>
      <c r="J21" s="34">
        <f t="shared" si="0"/>
        <v>0</v>
      </c>
      <c r="K21" s="34">
        <f t="shared" si="0"/>
        <v>0</v>
      </c>
      <c r="L21" s="34">
        <f t="shared" si="0"/>
        <v>0</v>
      </c>
      <c r="M21" s="34">
        <f t="shared" si="0"/>
        <v>0</v>
      </c>
      <c r="N21" s="34">
        <f t="shared" si="0"/>
        <v>0</v>
      </c>
      <c r="O21" s="34">
        <f t="shared" si="0"/>
        <v>0</v>
      </c>
      <c r="P21" s="34">
        <f t="shared" si="0"/>
        <v>0</v>
      </c>
      <c r="Q21" s="34">
        <f t="shared" si="1"/>
        <v>0</v>
      </c>
      <c r="R21" s="34">
        <f t="shared" si="1"/>
        <v>0</v>
      </c>
      <c r="S21" s="34">
        <f t="shared" si="1"/>
        <v>0</v>
      </c>
      <c r="T21" s="34">
        <f t="shared" si="1"/>
        <v>0</v>
      </c>
      <c r="U21" s="34">
        <f t="shared" si="1"/>
        <v>0</v>
      </c>
      <c r="V21" s="34">
        <f t="shared" si="1"/>
        <v>0</v>
      </c>
      <c r="W21" s="34">
        <f t="shared" si="1"/>
        <v>0</v>
      </c>
      <c r="X21" s="34">
        <f t="shared" si="1"/>
        <v>0</v>
      </c>
      <c r="Y21" s="34">
        <f t="shared" si="1"/>
        <v>0</v>
      </c>
      <c r="Z21" s="35">
        <f t="shared" si="1"/>
        <v>0</v>
      </c>
      <c r="AA21" s="802">
        <f>+SUMPRODUCT(G21:Z21,$G$42:$Z$42)</f>
        <v>0</v>
      </c>
      <c r="AB21" s="802">
        <f t="shared" si="2"/>
        <v>0</v>
      </c>
      <c r="AC21" s="802">
        <f t="shared" si="3"/>
        <v>0</v>
      </c>
    </row>
    <row r="22" spans="2:31" s="23" customFormat="1" ht="19.5" customHeight="1">
      <c r="B22" s="680"/>
      <c r="C22" s="677"/>
      <c r="D22" s="677"/>
      <c r="E22" s="678"/>
      <c r="F22" s="679"/>
      <c r="G22" s="257">
        <f t="shared" si="0"/>
        <v>0</v>
      </c>
      <c r="H22" s="34">
        <f t="shared" si="0"/>
        <v>0</v>
      </c>
      <c r="I22" s="34">
        <f t="shared" si="0"/>
        <v>0</v>
      </c>
      <c r="J22" s="34">
        <f t="shared" si="0"/>
        <v>0</v>
      </c>
      <c r="K22" s="34">
        <f t="shared" si="0"/>
        <v>0</v>
      </c>
      <c r="L22" s="34">
        <f t="shared" si="0"/>
        <v>0</v>
      </c>
      <c r="M22" s="34">
        <f t="shared" si="0"/>
        <v>0</v>
      </c>
      <c r="N22" s="34">
        <f t="shared" si="0"/>
        <v>0</v>
      </c>
      <c r="O22" s="34">
        <f t="shared" si="0"/>
        <v>0</v>
      </c>
      <c r="P22" s="34">
        <f t="shared" si="0"/>
        <v>0</v>
      </c>
      <c r="Q22" s="34">
        <f t="shared" si="1"/>
        <v>0</v>
      </c>
      <c r="R22" s="34">
        <f t="shared" si="1"/>
        <v>0</v>
      </c>
      <c r="S22" s="34">
        <f t="shared" si="1"/>
        <v>0</v>
      </c>
      <c r="T22" s="34">
        <f t="shared" si="1"/>
        <v>0</v>
      </c>
      <c r="U22" s="34">
        <f t="shared" si="1"/>
        <v>0</v>
      </c>
      <c r="V22" s="34">
        <f t="shared" si="1"/>
        <v>0</v>
      </c>
      <c r="W22" s="34">
        <f t="shared" si="1"/>
        <v>0</v>
      </c>
      <c r="X22" s="34">
        <f t="shared" si="1"/>
        <v>0</v>
      </c>
      <c r="Y22" s="34">
        <f t="shared" si="1"/>
        <v>0</v>
      </c>
      <c r="Z22" s="35">
        <f t="shared" si="1"/>
        <v>0</v>
      </c>
      <c r="AA22" s="802">
        <f>+SUMPRODUCT(G22:Z22,$G$42:$Z$42)</f>
        <v>0</v>
      </c>
      <c r="AB22" s="802">
        <f t="shared" si="2"/>
        <v>0</v>
      </c>
      <c r="AC22" s="802">
        <f t="shared" si="3"/>
        <v>0</v>
      </c>
      <c r="AE22" s="178"/>
    </row>
    <row r="23" spans="2:31" s="23" customFormat="1" ht="19.5" customHeight="1">
      <c r="B23" s="680"/>
      <c r="C23" s="677"/>
      <c r="D23" s="677"/>
      <c r="E23" s="678"/>
      <c r="F23" s="679"/>
      <c r="G23" s="257">
        <f t="shared" si="0"/>
        <v>0</v>
      </c>
      <c r="H23" s="34">
        <f t="shared" si="0"/>
        <v>0</v>
      </c>
      <c r="I23" s="34">
        <f t="shared" si="0"/>
        <v>0</v>
      </c>
      <c r="J23" s="34">
        <f t="shared" si="0"/>
        <v>0</v>
      </c>
      <c r="K23" s="34">
        <f t="shared" si="0"/>
        <v>0</v>
      </c>
      <c r="L23" s="34">
        <f t="shared" si="0"/>
        <v>0</v>
      </c>
      <c r="M23" s="34">
        <f t="shared" si="0"/>
        <v>0</v>
      </c>
      <c r="N23" s="34">
        <f t="shared" si="0"/>
        <v>0</v>
      </c>
      <c r="O23" s="34">
        <f t="shared" si="0"/>
        <v>0</v>
      </c>
      <c r="P23" s="34">
        <f t="shared" si="0"/>
        <v>0</v>
      </c>
      <c r="Q23" s="34">
        <f t="shared" si="1"/>
        <v>0</v>
      </c>
      <c r="R23" s="34">
        <f t="shared" si="1"/>
        <v>0</v>
      </c>
      <c r="S23" s="34">
        <f t="shared" si="1"/>
        <v>0</v>
      </c>
      <c r="T23" s="34">
        <f t="shared" si="1"/>
        <v>0</v>
      </c>
      <c r="U23" s="34">
        <f t="shared" si="1"/>
        <v>0</v>
      </c>
      <c r="V23" s="34">
        <f t="shared" si="1"/>
        <v>0</v>
      </c>
      <c r="W23" s="34">
        <f t="shared" si="1"/>
        <v>0</v>
      </c>
      <c r="X23" s="34">
        <f t="shared" si="1"/>
        <v>0</v>
      </c>
      <c r="Y23" s="34">
        <f t="shared" si="1"/>
        <v>0</v>
      </c>
      <c r="Z23" s="35">
        <f t="shared" si="1"/>
        <v>0</v>
      </c>
      <c r="AA23" s="802">
        <f>+SUMPRODUCT(G23:Z23,$G$42:$Z$42)</f>
        <v>0</v>
      </c>
      <c r="AB23" s="802">
        <f t="shared" si="2"/>
        <v>0</v>
      </c>
      <c r="AC23" s="802">
        <f t="shared" si="3"/>
        <v>0</v>
      </c>
      <c r="AE23" s="178"/>
    </row>
    <row r="24" spans="2:31" s="23" customFormat="1" ht="19.5" customHeight="1">
      <c r="B24" s="680"/>
      <c r="C24" s="677"/>
      <c r="D24" s="677"/>
      <c r="E24" s="678"/>
      <c r="F24" s="679"/>
      <c r="G24" s="257">
        <f t="shared" si="0"/>
        <v>0</v>
      </c>
      <c r="H24" s="34">
        <f t="shared" si="0"/>
        <v>0</v>
      </c>
      <c r="I24" s="34">
        <f t="shared" si="0"/>
        <v>0</v>
      </c>
      <c r="J24" s="34">
        <f t="shared" si="0"/>
        <v>0</v>
      </c>
      <c r="K24" s="34">
        <f t="shared" si="0"/>
        <v>0</v>
      </c>
      <c r="L24" s="34">
        <f t="shared" si="0"/>
        <v>0</v>
      </c>
      <c r="M24" s="34">
        <f t="shared" si="0"/>
        <v>0</v>
      </c>
      <c r="N24" s="34">
        <f t="shared" si="0"/>
        <v>0</v>
      </c>
      <c r="O24" s="34">
        <f t="shared" si="0"/>
        <v>0</v>
      </c>
      <c r="P24" s="34">
        <f t="shared" si="0"/>
        <v>0</v>
      </c>
      <c r="Q24" s="34">
        <f t="shared" si="1"/>
        <v>0</v>
      </c>
      <c r="R24" s="34">
        <f t="shared" si="1"/>
        <v>0</v>
      </c>
      <c r="S24" s="34">
        <f t="shared" si="1"/>
        <v>0</v>
      </c>
      <c r="T24" s="34">
        <f t="shared" si="1"/>
        <v>0</v>
      </c>
      <c r="U24" s="34">
        <f t="shared" si="1"/>
        <v>0</v>
      </c>
      <c r="V24" s="34">
        <f t="shared" si="1"/>
        <v>0</v>
      </c>
      <c r="W24" s="34">
        <f t="shared" si="1"/>
        <v>0</v>
      </c>
      <c r="X24" s="34">
        <f t="shared" si="1"/>
        <v>0</v>
      </c>
      <c r="Y24" s="34">
        <f t="shared" si="1"/>
        <v>0</v>
      </c>
      <c r="Z24" s="35">
        <f t="shared" si="1"/>
        <v>0</v>
      </c>
      <c r="AA24" s="802">
        <f>+SUMPRODUCT(G24:Z24,$G$42:$Z$42)</f>
        <v>0</v>
      </c>
      <c r="AB24" s="802">
        <f t="shared" si="2"/>
        <v>0</v>
      </c>
      <c r="AC24" s="802">
        <f t="shared" si="3"/>
        <v>0</v>
      </c>
      <c r="AE24" s="178"/>
    </row>
    <row r="25" spans="2:31" s="23" customFormat="1" ht="19.5" customHeight="1">
      <c r="B25" s="680"/>
      <c r="C25" s="677"/>
      <c r="D25" s="677"/>
      <c r="E25" s="678"/>
      <c r="F25" s="679"/>
      <c r="G25" s="257">
        <f t="shared" si="0"/>
        <v>0</v>
      </c>
      <c r="H25" s="34">
        <f t="shared" si="0"/>
        <v>0</v>
      </c>
      <c r="I25" s="34">
        <f t="shared" si="0"/>
        <v>0</v>
      </c>
      <c r="J25" s="34">
        <f t="shared" si="0"/>
        <v>0</v>
      </c>
      <c r="K25" s="34">
        <f t="shared" si="0"/>
        <v>0</v>
      </c>
      <c r="L25" s="34">
        <f t="shared" si="0"/>
        <v>0</v>
      </c>
      <c r="M25" s="34">
        <f t="shared" si="0"/>
        <v>0</v>
      </c>
      <c r="N25" s="34">
        <f t="shared" si="0"/>
        <v>0</v>
      </c>
      <c r="O25" s="34">
        <f t="shared" si="0"/>
        <v>0</v>
      </c>
      <c r="P25" s="34">
        <f t="shared" si="0"/>
        <v>0</v>
      </c>
      <c r="Q25" s="34">
        <f t="shared" si="1"/>
        <v>0</v>
      </c>
      <c r="R25" s="34">
        <f t="shared" si="1"/>
        <v>0</v>
      </c>
      <c r="S25" s="34">
        <f t="shared" si="1"/>
        <v>0</v>
      </c>
      <c r="T25" s="34">
        <f t="shared" si="1"/>
        <v>0</v>
      </c>
      <c r="U25" s="34">
        <f t="shared" si="1"/>
        <v>0</v>
      </c>
      <c r="V25" s="34">
        <f t="shared" si="1"/>
        <v>0</v>
      </c>
      <c r="W25" s="34">
        <f t="shared" si="1"/>
        <v>0</v>
      </c>
      <c r="X25" s="34">
        <f t="shared" si="1"/>
        <v>0</v>
      </c>
      <c r="Y25" s="34">
        <f t="shared" si="1"/>
        <v>0</v>
      </c>
      <c r="Z25" s="35">
        <f t="shared" si="1"/>
        <v>0</v>
      </c>
      <c r="AA25" s="802">
        <f>+SUMPRODUCT(G25:Z25,$G$42:$Z$42)</f>
        <v>0</v>
      </c>
      <c r="AB25" s="802">
        <f t="shared" si="2"/>
        <v>0</v>
      </c>
      <c r="AC25" s="802">
        <f t="shared" si="3"/>
        <v>0</v>
      </c>
      <c r="AE25" s="178"/>
    </row>
    <row r="26" spans="2:31" s="23" customFormat="1" ht="19.5" customHeight="1">
      <c r="B26" s="680"/>
      <c r="C26" s="677"/>
      <c r="D26" s="677"/>
      <c r="E26" s="678"/>
      <c r="F26" s="679"/>
      <c r="G26" s="257">
        <f t="shared" si="0"/>
        <v>0</v>
      </c>
      <c r="H26" s="34">
        <f t="shared" si="0"/>
        <v>0</v>
      </c>
      <c r="I26" s="34">
        <f t="shared" si="0"/>
        <v>0</v>
      </c>
      <c r="J26" s="34">
        <f t="shared" si="0"/>
        <v>0</v>
      </c>
      <c r="K26" s="34">
        <f t="shared" si="0"/>
        <v>0</v>
      </c>
      <c r="L26" s="34">
        <f t="shared" si="0"/>
        <v>0</v>
      </c>
      <c r="M26" s="34">
        <f t="shared" si="0"/>
        <v>0</v>
      </c>
      <c r="N26" s="34">
        <f t="shared" si="0"/>
        <v>0</v>
      </c>
      <c r="O26" s="34">
        <f t="shared" si="0"/>
        <v>0</v>
      </c>
      <c r="P26" s="34">
        <f t="shared" si="0"/>
        <v>0</v>
      </c>
      <c r="Q26" s="34">
        <f t="shared" si="1"/>
        <v>0</v>
      </c>
      <c r="R26" s="34">
        <f t="shared" si="1"/>
        <v>0</v>
      </c>
      <c r="S26" s="34">
        <f t="shared" si="1"/>
        <v>0</v>
      </c>
      <c r="T26" s="34">
        <f t="shared" si="1"/>
        <v>0</v>
      </c>
      <c r="U26" s="34">
        <f t="shared" si="1"/>
        <v>0</v>
      </c>
      <c r="V26" s="34">
        <f t="shared" si="1"/>
        <v>0</v>
      </c>
      <c r="W26" s="34">
        <f t="shared" si="1"/>
        <v>0</v>
      </c>
      <c r="X26" s="34">
        <f t="shared" si="1"/>
        <v>0</v>
      </c>
      <c r="Y26" s="34">
        <f t="shared" si="1"/>
        <v>0</v>
      </c>
      <c r="Z26" s="35">
        <f t="shared" si="1"/>
        <v>0</v>
      </c>
      <c r="AA26" s="802">
        <f>+SUMPRODUCT(G26:Z26,$G$42:$Z$42)</f>
        <v>0</v>
      </c>
      <c r="AB26" s="802">
        <f aca="true" t="shared" si="4" ref="AB26:AB31">(IF(ISBLANK(C26),0,IF(D26,0,((1+$G$14)^MOD($Z$18-C26,MAX(E26,1)))*((1+$G$14)^-$Z$18)*F26/((1+$G$14)^(MAX(E26,1))-1))))*(1+$G$14)</f>
        <v>0</v>
      </c>
      <c r="AC26" s="802">
        <f aca="true" t="shared" si="5" ref="AC26:AC31">+AA26+AB26</f>
        <v>0</v>
      </c>
      <c r="AE26" s="178"/>
    </row>
    <row r="27" spans="2:31" s="23" customFormat="1" ht="19.5" customHeight="1">
      <c r="B27" s="680"/>
      <c r="C27" s="677"/>
      <c r="D27" s="677"/>
      <c r="E27" s="678"/>
      <c r="F27" s="679"/>
      <c r="G27" s="257">
        <f t="shared" si="0"/>
        <v>0</v>
      </c>
      <c r="H27" s="34">
        <f t="shared" si="0"/>
        <v>0</v>
      </c>
      <c r="I27" s="34">
        <f t="shared" si="0"/>
        <v>0</v>
      </c>
      <c r="J27" s="34">
        <f t="shared" si="0"/>
        <v>0</v>
      </c>
      <c r="K27" s="34">
        <f t="shared" si="0"/>
        <v>0</v>
      </c>
      <c r="L27" s="34">
        <f t="shared" si="0"/>
        <v>0</v>
      </c>
      <c r="M27" s="34">
        <f t="shared" si="0"/>
        <v>0</v>
      </c>
      <c r="N27" s="34">
        <f t="shared" si="0"/>
        <v>0</v>
      </c>
      <c r="O27" s="34">
        <f t="shared" si="0"/>
        <v>0</v>
      </c>
      <c r="P27" s="34">
        <f t="shared" si="0"/>
        <v>0</v>
      </c>
      <c r="Q27" s="34">
        <f t="shared" si="1"/>
        <v>0</v>
      </c>
      <c r="R27" s="34">
        <f t="shared" si="1"/>
        <v>0</v>
      </c>
      <c r="S27" s="34">
        <f t="shared" si="1"/>
        <v>0</v>
      </c>
      <c r="T27" s="34">
        <f t="shared" si="1"/>
        <v>0</v>
      </c>
      <c r="U27" s="34">
        <f t="shared" si="1"/>
        <v>0</v>
      </c>
      <c r="V27" s="34">
        <f t="shared" si="1"/>
        <v>0</v>
      </c>
      <c r="W27" s="34">
        <f t="shared" si="1"/>
        <v>0</v>
      </c>
      <c r="X27" s="34">
        <f t="shared" si="1"/>
        <v>0</v>
      </c>
      <c r="Y27" s="34">
        <f t="shared" si="1"/>
        <v>0</v>
      </c>
      <c r="Z27" s="35">
        <f t="shared" si="1"/>
        <v>0</v>
      </c>
      <c r="AA27" s="802">
        <f>+SUMPRODUCT(G27:Z27,$G$42:$Z$42)</f>
        <v>0</v>
      </c>
      <c r="AB27" s="802">
        <f t="shared" si="4"/>
        <v>0</v>
      </c>
      <c r="AC27" s="802">
        <f t="shared" si="5"/>
        <v>0</v>
      </c>
      <c r="AE27" s="178"/>
    </row>
    <row r="28" spans="2:31" s="23" customFormat="1" ht="19.5" customHeight="1">
      <c r="B28" s="680"/>
      <c r="C28" s="677"/>
      <c r="D28" s="677"/>
      <c r="E28" s="678"/>
      <c r="F28" s="679"/>
      <c r="G28" s="257">
        <f t="shared" si="0"/>
        <v>0</v>
      </c>
      <c r="H28" s="34">
        <f t="shared" si="0"/>
        <v>0</v>
      </c>
      <c r="I28" s="34">
        <f t="shared" si="0"/>
        <v>0</v>
      </c>
      <c r="J28" s="34">
        <f t="shared" si="0"/>
        <v>0</v>
      </c>
      <c r="K28" s="34">
        <f t="shared" si="0"/>
        <v>0</v>
      </c>
      <c r="L28" s="34">
        <f t="shared" si="0"/>
        <v>0</v>
      </c>
      <c r="M28" s="34">
        <f t="shared" si="0"/>
        <v>0</v>
      </c>
      <c r="N28" s="34">
        <f t="shared" si="0"/>
        <v>0</v>
      </c>
      <c r="O28" s="34">
        <f t="shared" si="0"/>
        <v>0</v>
      </c>
      <c r="P28" s="34">
        <f t="shared" si="0"/>
        <v>0</v>
      </c>
      <c r="Q28" s="34">
        <f t="shared" si="1"/>
        <v>0</v>
      </c>
      <c r="R28" s="34">
        <f t="shared" si="1"/>
        <v>0</v>
      </c>
      <c r="S28" s="34">
        <f t="shared" si="1"/>
        <v>0</v>
      </c>
      <c r="T28" s="34">
        <f t="shared" si="1"/>
        <v>0</v>
      </c>
      <c r="U28" s="34">
        <f t="shared" si="1"/>
        <v>0</v>
      </c>
      <c r="V28" s="34">
        <f t="shared" si="1"/>
        <v>0</v>
      </c>
      <c r="W28" s="34">
        <f t="shared" si="1"/>
        <v>0</v>
      </c>
      <c r="X28" s="34">
        <f t="shared" si="1"/>
        <v>0</v>
      </c>
      <c r="Y28" s="34">
        <f t="shared" si="1"/>
        <v>0</v>
      </c>
      <c r="Z28" s="35">
        <f t="shared" si="1"/>
        <v>0</v>
      </c>
      <c r="AA28" s="802">
        <f>+SUMPRODUCT(G28:Z28,$G$42:$Z$42)</f>
        <v>0</v>
      </c>
      <c r="AB28" s="802">
        <f t="shared" si="4"/>
        <v>0</v>
      </c>
      <c r="AC28" s="802">
        <f t="shared" si="5"/>
        <v>0</v>
      </c>
      <c r="AE28" s="178"/>
    </row>
    <row r="29" spans="2:31" s="23" customFormat="1" ht="19.5" customHeight="1">
      <c r="B29" s="680"/>
      <c r="C29" s="677"/>
      <c r="D29" s="677"/>
      <c r="E29" s="678"/>
      <c r="F29" s="679"/>
      <c r="G29" s="257">
        <f t="shared" si="0"/>
        <v>0</v>
      </c>
      <c r="H29" s="34">
        <f t="shared" si="0"/>
        <v>0</v>
      </c>
      <c r="I29" s="34">
        <f t="shared" si="0"/>
        <v>0</v>
      </c>
      <c r="J29" s="34">
        <f t="shared" si="0"/>
        <v>0</v>
      </c>
      <c r="K29" s="34">
        <f t="shared" si="0"/>
        <v>0</v>
      </c>
      <c r="L29" s="34">
        <f t="shared" si="0"/>
        <v>0</v>
      </c>
      <c r="M29" s="34">
        <f t="shared" si="0"/>
        <v>0</v>
      </c>
      <c r="N29" s="34">
        <f t="shared" si="0"/>
        <v>0</v>
      </c>
      <c r="O29" s="34">
        <f t="shared" si="0"/>
        <v>0</v>
      </c>
      <c r="P29" s="34">
        <f t="shared" si="0"/>
        <v>0</v>
      </c>
      <c r="Q29" s="34">
        <f t="shared" si="1"/>
        <v>0</v>
      </c>
      <c r="R29" s="34">
        <f t="shared" si="1"/>
        <v>0</v>
      </c>
      <c r="S29" s="34">
        <f t="shared" si="1"/>
        <v>0</v>
      </c>
      <c r="T29" s="34">
        <f t="shared" si="1"/>
        <v>0</v>
      </c>
      <c r="U29" s="34">
        <f t="shared" si="1"/>
        <v>0</v>
      </c>
      <c r="V29" s="34">
        <f t="shared" si="1"/>
        <v>0</v>
      </c>
      <c r="W29" s="34">
        <f t="shared" si="1"/>
        <v>0</v>
      </c>
      <c r="X29" s="34">
        <f t="shared" si="1"/>
        <v>0</v>
      </c>
      <c r="Y29" s="34">
        <f t="shared" si="1"/>
        <v>0</v>
      </c>
      <c r="Z29" s="35">
        <f t="shared" si="1"/>
        <v>0</v>
      </c>
      <c r="AA29" s="802">
        <f>+SUMPRODUCT(G29:Z29,$G$42:$Z$42)</f>
        <v>0</v>
      </c>
      <c r="AB29" s="802">
        <f t="shared" si="4"/>
        <v>0</v>
      </c>
      <c r="AC29" s="802">
        <f t="shared" si="5"/>
        <v>0</v>
      </c>
      <c r="AE29" s="178"/>
    </row>
    <row r="30" spans="2:31" s="23" customFormat="1" ht="19.5" customHeight="1">
      <c r="B30" s="680"/>
      <c r="C30" s="677"/>
      <c r="D30" s="677"/>
      <c r="E30" s="678"/>
      <c r="F30" s="679"/>
      <c r="G30" s="257">
        <f t="shared" si="0"/>
        <v>0</v>
      </c>
      <c r="H30" s="34">
        <f t="shared" si="0"/>
        <v>0</v>
      </c>
      <c r="I30" s="34">
        <f t="shared" si="0"/>
        <v>0</v>
      </c>
      <c r="J30" s="34">
        <f t="shared" si="0"/>
        <v>0</v>
      </c>
      <c r="K30" s="34">
        <f t="shared" si="0"/>
        <v>0</v>
      </c>
      <c r="L30" s="34">
        <f t="shared" si="0"/>
        <v>0</v>
      </c>
      <c r="M30" s="34">
        <f t="shared" si="0"/>
        <v>0</v>
      </c>
      <c r="N30" s="34">
        <f t="shared" si="0"/>
        <v>0</v>
      </c>
      <c r="O30" s="34">
        <f t="shared" si="0"/>
        <v>0</v>
      </c>
      <c r="P30" s="34">
        <f t="shared" si="0"/>
        <v>0</v>
      </c>
      <c r="Q30" s="34">
        <f t="shared" si="1"/>
        <v>0</v>
      </c>
      <c r="R30" s="34">
        <f t="shared" si="1"/>
        <v>0</v>
      </c>
      <c r="S30" s="34">
        <f t="shared" si="1"/>
        <v>0</v>
      </c>
      <c r="T30" s="34">
        <f t="shared" si="1"/>
        <v>0</v>
      </c>
      <c r="U30" s="34">
        <f t="shared" si="1"/>
        <v>0</v>
      </c>
      <c r="V30" s="34">
        <f t="shared" si="1"/>
        <v>0</v>
      </c>
      <c r="W30" s="34">
        <f t="shared" si="1"/>
        <v>0</v>
      </c>
      <c r="X30" s="34">
        <f t="shared" si="1"/>
        <v>0</v>
      </c>
      <c r="Y30" s="34">
        <f t="shared" si="1"/>
        <v>0</v>
      </c>
      <c r="Z30" s="35">
        <f t="shared" si="1"/>
        <v>0</v>
      </c>
      <c r="AA30" s="802">
        <f>+SUMPRODUCT(G30:Z30,$G$42:$Z$42)</f>
        <v>0</v>
      </c>
      <c r="AB30" s="802">
        <f t="shared" si="4"/>
        <v>0</v>
      </c>
      <c r="AC30" s="802">
        <f t="shared" si="5"/>
        <v>0</v>
      </c>
      <c r="AE30" s="178"/>
    </row>
    <row r="31" spans="2:31" s="23" customFormat="1" ht="19.5" customHeight="1">
      <c r="B31" s="680"/>
      <c r="C31" s="677"/>
      <c r="D31" s="677"/>
      <c r="E31" s="678"/>
      <c r="F31" s="679"/>
      <c r="G31" s="257">
        <f t="shared" si="0"/>
        <v>0</v>
      </c>
      <c r="H31" s="34">
        <f t="shared" si="0"/>
        <v>0</v>
      </c>
      <c r="I31" s="34">
        <f t="shared" si="0"/>
        <v>0</v>
      </c>
      <c r="J31" s="34">
        <f t="shared" si="0"/>
        <v>0</v>
      </c>
      <c r="K31" s="34">
        <f t="shared" si="0"/>
        <v>0</v>
      </c>
      <c r="L31" s="34">
        <f t="shared" si="0"/>
        <v>0</v>
      </c>
      <c r="M31" s="34">
        <f t="shared" si="0"/>
        <v>0</v>
      </c>
      <c r="N31" s="34">
        <f t="shared" si="0"/>
        <v>0</v>
      </c>
      <c r="O31" s="34">
        <f t="shared" si="0"/>
        <v>0</v>
      </c>
      <c r="P31" s="34">
        <f t="shared" si="0"/>
        <v>0</v>
      </c>
      <c r="Q31" s="34">
        <f t="shared" si="1"/>
        <v>0</v>
      </c>
      <c r="R31" s="34">
        <f t="shared" si="1"/>
        <v>0</v>
      </c>
      <c r="S31" s="34">
        <f t="shared" si="1"/>
        <v>0</v>
      </c>
      <c r="T31" s="34">
        <f t="shared" si="1"/>
        <v>0</v>
      </c>
      <c r="U31" s="34">
        <f t="shared" si="1"/>
        <v>0</v>
      </c>
      <c r="V31" s="34">
        <f t="shared" si="1"/>
        <v>0</v>
      </c>
      <c r="W31" s="34">
        <f t="shared" si="1"/>
        <v>0</v>
      </c>
      <c r="X31" s="34">
        <f t="shared" si="1"/>
        <v>0</v>
      </c>
      <c r="Y31" s="34">
        <f t="shared" si="1"/>
        <v>0</v>
      </c>
      <c r="Z31" s="35">
        <f t="shared" si="1"/>
        <v>0</v>
      </c>
      <c r="AA31" s="802">
        <f>+SUMPRODUCT(G31:Z31,$G$42:$Z$42)</f>
        <v>0</v>
      </c>
      <c r="AB31" s="802">
        <f t="shared" si="4"/>
        <v>0</v>
      </c>
      <c r="AC31" s="802">
        <f t="shared" si="5"/>
        <v>0</v>
      </c>
      <c r="AE31" s="178"/>
    </row>
    <row r="32" spans="2:31" s="23" customFormat="1" ht="19.5" customHeight="1">
      <c r="B32" s="680"/>
      <c r="C32" s="677"/>
      <c r="D32" s="677"/>
      <c r="E32" s="678"/>
      <c r="F32" s="679"/>
      <c r="G32" s="257">
        <f t="shared" si="0"/>
        <v>0</v>
      </c>
      <c r="H32" s="34">
        <f t="shared" si="0"/>
        <v>0</v>
      </c>
      <c r="I32" s="34">
        <f t="shared" si="0"/>
        <v>0</v>
      </c>
      <c r="J32" s="34">
        <f t="shared" si="0"/>
        <v>0</v>
      </c>
      <c r="K32" s="34">
        <f t="shared" si="0"/>
        <v>0</v>
      </c>
      <c r="L32" s="34">
        <f t="shared" si="0"/>
        <v>0</v>
      </c>
      <c r="M32" s="34">
        <f t="shared" si="0"/>
        <v>0</v>
      </c>
      <c r="N32" s="34">
        <f t="shared" si="0"/>
        <v>0</v>
      </c>
      <c r="O32" s="34">
        <f t="shared" si="0"/>
        <v>0</v>
      </c>
      <c r="P32" s="34">
        <f t="shared" si="0"/>
        <v>0</v>
      </c>
      <c r="Q32" s="34">
        <f t="shared" si="1"/>
        <v>0</v>
      </c>
      <c r="R32" s="34">
        <f t="shared" si="1"/>
        <v>0</v>
      </c>
      <c r="S32" s="34">
        <f t="shared" si="1"/>
        <v>0</v>
      </c>
      <c r="T32" s="34">
        <f t="shared" si="1"/>
        <v>0</v>
      </c>
      <c r="U32" s="34">
        <f t="shared" si="1"/>
        <v>0</v>
      </c>
      <c r="V32" s="34">
        <f t="shared" si="1"/>
        <v>0</v>
      </c>
      <c r="W32" s="34">
        <f t="shared" si="1"/>
        <v>0</v>
      </c>
      <c r="X32" s="34">
        <f t="shared" si="1"/>
        <v>0</v>
      </c>
      <c r="Y32" s="34">
        <f t="shared" si="1"/>
        <v>0</v>
      </c>
      <c r="Z32" s="35">
        <f t="shared" si="1"/>
        <v>0</v>
      </c>
      <c r="AA32" s="802">
        <f>+SUMPRODUCT(G32:Z32,$G$42:$Z$42)</f>
        <v>0</v>
      </c>
      <c r="AB32" s="802">
        <f t="shared" si="2"/>
        <v>0</v>
      </c>
      <c r="AC32" s="802">
        <f t="shared" si="3"/>
        <v>0</v>
      </c>
      <c r="AE32" s="178"/>
    </row>
    <row r="33" spans="2:29" s="23" customFormat="1" ht="45" customHeight="1">
      <c r="B33" s="667" t="s">
        <v>177</v>
      </c>
      <c r="C33" s="263"/>
      <c r="D33" s="262"/>
      <c r="E33" s="252"/>
      <c r="F33" s="248"/>
      <c r="G33" s="506"/>
      <c r="H33" s="507"/>
      <c r="I33" s="507"/>
      <c r="J33" s="507"/>
      <c r="K33" s="507"/>
      <c r="L33" s="507"/>
      <c r="M33" s="507"/>
      <c r="N33" s="507"/>
      <c r="O33" s="507"/>
      <c r="P33" s="507"/>
      <c r="Q33" s="507"/>
      <c r="R33" s="507"/>
      <c r="S33" s="507"/>
      <c r="T33" s="507"/>
      <c r="U33" s="507"/>
      <c r="V33" s="507"/>
      <c r="W33" s="507"/>
      <c r="X33" s="507"/>
      <c r="Y33" s="507"/>
      <c r="Z33" s="508"/>
      <c r="AA33" s="803"/>
      <c r="AB33" s="803"/>
      <c r="AC33" s="803"/>
    </row>
    <row r="34" spans="2:29" s="23" customFormat="1" ht="19.5" customHeight="1">
      <c r="B34" s="481" t="s">
        <v>241</v>
      </c>
      <c r="C34" s="482">
        <v>1</v>
      </c>
      <c r="D34" s="259"/>
      <c r="E34" s="483">
        <v>1</v>
      </c>
      <c r="F34" s="484">
        <v>1665</v>
      </c>
      <c r="G34" s="257">
        <f aca="true" t="shared" si="6" ref="G34:P36">IF(OR(ISBLANK($C34),$C34&gt;G$18),0,IF(AND(NOT(ISBLANK($D34)),G$18&gt;$D34),0,IF(MOD((G$18-$C34),MAX($E34,1))=0,$F34,0)))</f>
        <v>1665</v>
      </c>
      <c r="H34" s="34">
        <f t="shared" si="6"/>
        <v>1665</v>
      </c>
      <c r="I34" s="34">
        <f t="shared" si="6"/>
        <v>1665</v>
      </c>
      <c r="J34" s="34">
        <f t="shared" si="6"/>
        <v>1665</v>
      </c>
      <c r="K34" s="34">
        <f t="shared" si="6"/>
        <v>1665</v>
      </c>
      <c r="L34" s="34">
        <f t="shared" si="6"/>
        <v>1665</v>
      </c>
      <c r="M34" s="34">
        <f t="shared" si="6"/>
        <v>1665</v>
      </c>
      <c r="N34" s="34">
        <f t="shared" si="6"/>
        <v>1665</v>
      </c>
      <c r="O34" s="34">
        <f t="shared" si="6"/>
        <v>1665</v>
      </c>
      <c r="P34" s="34">
        <f t="shared" si="6"/>
        <v>1665</v>
      </c>
      <c r="Q34" s="34">
        <f aca="true" t="shared" si="7" ref="Q34:Z36">IF(OR(ISBLANK($C34),$C34&gt;Q$18),0,IF(AND(NOT(ISBLANK($D34)),Q$18&gt;$D34),0,IF(MOD((Q$18-$C34),MAX($E34,1))=0,$F34,0)))</f>
        <v>1665</v>
      </c>
      <c r="R34" s="34">
        <f t="shared" si="7"/>
        <v>1665</v>
      </c>
      <c r="S34" s="34">
        <f t="shared" si="7"/>
        <v>1665</v>
      </c>
      <c r="T34" s="34">
        <f t="shared" si="7"/>
        <v>1665</v>
      </c>
      <c r="U34" s="34">
        <f t="shared" si="7"/>
        <v>1665</v>
      </c>
      <c r="V34" s="34">
        <f t="shared" si="7"/>
        <v>1665</v>
      </c>
      <c r="W34" s="34">
        <f t="shared" si="7"/>
        <v>1665</v>
      </c>
      <c r="X34" s="34">
        <f t="shared" si="7"/>
        <v>1665</v>
      </c>
      <c r="Y34" s="34">
        <f t="shared" si="7"/>
        <v>1665</v>
      </c>
      <c r="Z34" s="35">
        <f t="shared" si="7"/>
        <v>1665</v>
      </c>
      <c r="AA34" s="802">
        <f>+SUMPRODUCT(G34:Z34,$G$42:$Z$42)</f>
        <v>25097.30510143379</v>
      </c>
      <c r="AB34" s="802">
        <f>(IF(ISBLANK(C34),0,IF(D34,0,((1+$G$14)^MOD($Z$18-C34,MAX(E34,1)))*((1+$G$14)^-$Z$18)*F34/((1+$G$14)^(MAX(E34,1))-1))))*(1+$G$14)</f>
        <v>28598.94489856619</v>
      </c>
      <c r="AC34" s="802">
        <f>+AA34+AB34</f>
        <v>53696.249999999985</v>
      </c>
    </row>
    <row r="35" spans="2:29" s="23" customFormat="1" ht="19.5" customHeight="1">
      <c r="B35" s="680"/>
      <c r="C35" s="677"/>
      <c r="D35" s="677"/>
      <c r="E35" s="678"/>
      <c r="F35" s="679"/>
      <c r="G35" s="257">
        <f t="shared" si="6"/>
        <v>0</v>
      </c>
      <c r="H35" s="34">
        <f t="shared" si="6"/>
        <v>0</v>
      </c>
      <c r="I35" s="34">
        <f t="shared" si="6"/>
        <v>0</v>
      </c>
      <c r="J35" s="34">
        <f t="shared" si="6"/>
        <v>0</v>
      </c>
      <c r="K35" s="34">
        <f t="shared" si="6"/>
        <v>0</v>
      </c>
      <c r="L35" s="34">
        <f t="shared" si="6"/>
        <v>0</v>
      </c>
      <c r="M35" s="34">
        <f t="shared" si="6"/>
        <v>0</v>
      </c>
      <c r="N35" s="34">
        <f t="shared" si="6"/>
        <v>0</v>
      </c>
      <c r="O35" s="34">
        <f t="shared" si="6"/>
        <v>0</v>
      </c>
      <c r="P35" s="34">
        <f t="shared" si="6"/>
        <v>0</v>
      </c>
      <c r="Q35" s="34">
        <f t="shared" si="7"/>
        <v>0</v>
      </c>
      <c r="R35" s="34">
        <f t="shared" si="7"/>
        <v>0</v>
      </c>
      <c r="S35" s="34">
        <f t="shared" si="7"/>
        <v>0</v>
      </c>
      <c r="T35" s="34">
        <f t="shared" si="7"/>
        <v>0</v>
      </c>
      <c r="U35" s="34">
        <f t="shared" si="7"/>
        <v>0</v>
      </c>
      <c r="V35" s="34">
        <f t="shared" si="7"/>
        <v>0</v>
      </c>
      <c r="W35" s="34">
        <f t="shared" si="7"/>
        <v>0</v>
      </c>
      <c r="X35" s="34">
        <f t="shared" si="7"/>
        <v>0</v>
      </c>
      <c r="Y35" s="34">
        <f t="shared" si="7"/>
        <v>0</v>
      </c>
      <c r="Z35" s="35">
        <f t="shared" si="7"/>
        <v>0</v>
      </c>
      <c r="AA35" s="802">
        <f>+SUMPRODUCT(G35:Z35,$G$42:$Z$42)</f>
        <v>0</v>
      </c>
      <c r="AB35" s="802">
        <f>(IF(ISBLANK(C35),0,IF(D35,0,((1+$G$14)^MOD($Z$18-C35,MAX(E35,1)))*((1+$G$14)^-$Z$18)*F35/((1+$G$14)^(MAX(E35,1))-1))))*(1+$G$14)</f>
        <v>0</v>
      </c>
      <c r="AC35" s="802">
        <f>+AA35+AB35</f>
        <v>0</v>
      </c>
    </row>
    <row r="36" spans="2:29" s="23" customFormat="1" ht="19.5" customHeight="1">
      <c r="B36" s="680"/>
      <c r="C36" s="677"/>
      <c r="D36" s="677"/>
      <c r="E36" s="678"/>
      <c r="F36" s="679"/>
      <c r="G36" s="257">
        <f t="shared" si="6"/>
        <v>0</v>
      </c>
      <c r="H36" s="34">
        <f t="shared" si="6"/>
        <v>0</v>
      </c>
      <c r="I36" s="34">
        <f t="shared" si="6"/>
        <v>0</v>
      </c>
      <c r="J36" s="34">
        <f t="shared" si="6"/>
        <v>0</v>
      </c>
      <c r="K36" s="34">
        <f t="shared" si="6"/>
        <v>0</v>
      </c>
      <c r="L36" s="34">
        <f t="shared" si="6"/>
        <v>0</v>
      </c>
      <c r="M36" s="34">
        <f t="shared" si="6"/>
        <v>0</v>
      </c>
      <c r="N36" s="34">
        <f t="shared" si="6"/>
        <v>0</v>
      </c>
      <c r="O36" s="34">
        <f t="shared" si="6"/>
        <v>0</v>
      </c>
      <c r="P36" s="34">
        <f t="shared" si="6"/>
        <v>0</v>
      </c>
      <c r="Q36" s="34">
        <f t="shared" si="7"/>
        <v>0</v>
      </c>
      <c r="R36" s="34">
        <f t="shared" si="7"/>
        <v>0</v>
      </c>
      <c r="S36" s="34">
        <f t="shared" si="7"/>
        <v>0</v>
      </c>
      <c r="T36" s="34">
        <f t="shared" si="7"/>
        <v>0</v>
      </c>
      <c r="U36" s="34">
        <f t="shared" si="7"/>
        <v>0</v>
      </c>
      <c r="V36" s="34">
        <f t="shared" si="7"/>
        <v>0</v>
      </c>
      <c r="W36" s="34">
        <f t="shared" si="7"/>
        <v>0</v>
      </c>
      <c r="X36" s="34">
        <f t="shared" si="7"/>
        <v>0</v>
      </c>
      <c r="Y36" s="34">
        <f t="shared" si="7"/>
        <v>0</v>
      </c>
      <c r="Z36" s="35">
        <f t="shared" si="7"/>
        <v>0</v>
      </c>
      <c r="AA36" s="802">
        <f>+SUMPRODUCT(G36:Z36,$G$42:$Z$42)</f>
        <v>0</v>
      </c>
      <c r="AB36" s="802">
        <f>(IF(ISBLANK(C36),0,IF(D36,0,((1+$G$14)^MOD($Z$18-C36,MAX(E36,1)))*((1+$G$14)^-$Z$18)*F36/((1+$G$14)^(MAX(E36,1))-1))))*(1+$G$14)</f>
        <v>0</v>
      </c>
      <c r="AC36" s="802">
        <f>+AA36+AB36</f>
        <v>0</v>
      </c>
    </row>
    <row r="37" spans="2:29" s="23" customFormat="1" ht="19.5" customHeight="1">
      <c r="B37" s="866"/>
      <c r="C37" s="867"/>
      <c r="D37" s="867"/>
      <c r="E37" s="868"/>
      <c r="F37" s="869"/>
      <c r="G37" s="257">
        <f aca="true" t="shared" si="8" ref="G37:K38">IF(OR(ISBLANK($C37),$C37&gt;G$18),0,IF(AND(NOT(ISBLANK($D37)),G$18&gt;$D37),0,IF(MOD((G$18-$C37),MAX($E37,1))=0,$F37,0)))</f>
        <v>0</v>
      </c>
      <c r="H37" s="34">
        <f t="shared" si="8"/>
        <v>0</v>
      </c>
      <c r="I37" s="34">
        <f t="shared" si="8"/>
        <v>0</v>
      </c>
      <c r="J37" s="34">
        <f t="shared" si="8"/>
        <v>0</v>
      </c>
      <c r="K37" s="34">
        <f t="shared" si="8"/>
        <v>0</v>
      </c>
      <c r="L37" s="34">
        <f aca="true" t="shared" si="9" ref="L37:U38">IF(OR(ISBLANK($C37),$C37&gt;L$18),0,IF(AND(NOT(ISBLANK($D37)),L$18&gt;$D37),0,IF(MOD((L$18-$C37),MAX($E37,1))=0,$F37,0)))</f>
        <v>0</v>
      </c>
      <c r="M37" s="34">
        <f t="shared" si="9"/>
        <v>0</v>
      </c>
      <c r="N37" s="34">
        <f t="shared" si="9"/>
        <v>0</v>
      </c>
      <c r="O37" s="34">
        <f t="shared" si="9"/>
        <v>0</v>
      </c>
      <c r="P37" s="34">
        <f t="shared" si="9"/>
        <v>0</v>
      </c>
      <c r="Q37" s="34">
        <f t="shared" si="9"/>
        <v>0</v>
      </c>
      <c r="R37" s="34">
        <f t="shared" si="9"/>
        <v>0</v>
      </c>
      <c r="S37" s="34">
        <f t="shared" si="9"/>
        <v>0</v>
      </c>
      <c r="T37" s="34">
        <f t="shared" si="9"/>
        <v>0</v>
      </c>
      <c r="U37" s="34">
        <f t="shared" si="9"/>
        <v>0</v>
      </c>
      <c r="V37" s="34">
        <f aca="true" t="shared" si="10" ref="V37:Z38">IF(OR(ISBLANK($C37),$C37&gt;V$18),0,IF(AND(NOT(ISBLANK($D37)),V$18&gt;$D37),0,IF(MOD((V$18-$C37),MAX($E37,1))=0,$F37,0)))</f>
        <v>0</v>
      </c>
      <c r="W37" s="34">
        <f t="shared" si="10"/>
        <v>0</v>
      </c>
      <c r="X37" s="34">
        <f t="shared" si="10"/>
        <v>0</v>
      </c>
      <c r="Y37" s="34">
        <f t="shared" si="10"/>
        <v>0</v>
      </c>
      <c r="Z37" s="35">
        <f t="shared" si="10"/>
        <v>0</v>
      </c>
      <c r="AA37" s="802">
        <f>+SUMPRODUCT(G37:Z37,$G$42:$Z$42)</f>
        <v>0</v>
      </c>
      <c r="AB37" s="802">
        <f>(IF(ISBLANK(C37),0,IF(D37,0,((1+$G$14)^MOD($Z$18-C37,MAX(E37,1)))*((1+$G$14)^-$Z$18)*F37/((1+$G$14)^(MAX(E37,1))-1))))*(1+$G$14)</f>
        <v>0</v>
      </c>
      <c r="AC37" s="871">
        <f>+AA37+AB37</f>
        <v>0</v>
      </c>
    </row>
    <row r="38" spans="2:29" s="23" customFormat="1" ht="19.5" customHeight="1" thickBot="1">
      <c r="B38" s="870"/>
      <c r="C38" s="867"/>
      <c r="D38" s="867"/>
      <c r="E38" s="868"/>
      <c r="F38" s="869"/>
      <c r="G38" s="257">
        <f t="shared" si="8"/>
        <v>0</v>
      </c>
      <c r="H38" s="34">
        <f t="shared" si="8"/>
        <v>0</v>
      </c>
      <c r="I38" s="34">
        <f t="shared" si="8"/>
        <v>0</v>
      </c>
      <c r="J38" s="34">
        <f t="shared" si="8"/>
        <v>0</v>
      </c>
      <c r="K38" s="34">
        <f t="shared" si="8"/>
        <v>0</v>
      </c>
      <c r="L38" s="34">
        <f t="shared" si="9"/>
        <v>0</v>
      </c>
      <c r="M38" s="34">
        <f t="shared" si="9"/>
        <v>0</v>
      </c>
      <c r="N38" s="34">
        <f t="shared" si="9"/>
        <v>0</v>
      </c>
      <c r="O38" s="34">
        <f t="shared" si="9"/>
        <v>0</v>
      </c>
      <c r="P38" s="34">
        <f t="shared" si="9"/>
        <v>0</v>
      </c>
      <c r="Q38" s="34">
        <f t="shared" si="9"/>
        <v>0</v>
      </c>
      <c r="R38" s="34">
        <f t="shared" si="9"/>
        <v>0</v>
      </c>
      <c r="S38" s="34">
        <f t="shared" si="9"/>
        <v>0</v>
      </c>
      <c r="T38" s="34">
        <f t="shared" si="9"/>
        <v>0</v>
      </c>
      <c r="U38" s="34">
        <f t="shared" si="9"/>
        <v>0</v>
      </c>
      <c r="V38" s="34">
        <f t="shared" si="10"/>
        <v>0</v>
      </c>
      <c r="W38" s="34">
        <f t="shared" si="10"/>
        <v>0</v>
      </c>
      <c r="X38" s="34">
        <f t="shared" si="10"/>
        <v>0</v>
      </c>
      <c r="Y38" s="34">
        <f t="shared" si="10"/>
        <v>0</v>
      </c>
      <c r="Z38" s="35">
        <f t="shared" si="10"/>
        <v>0</v>
      </c>
      <c r="AA38" s="802">
        <f>+SUMPRODUCT(G38:Z38,$G$42:$Z$42)</f>
        <v>0</v>
      </c>
      <c r="AB38" s="802">
        <f>(IF(ISBLANK(C38),0,IF(D38,0,((1+$G$14)^MOD($Z$18-C38,MAX(E38,1)))*((1+$G$14)^-$Z$18)*F38/((1+$G$14)^(MAX(E38,1))-1))))*(1+$G$14)</f>
        <v>0</v>
      </c>
      <c r="AC38" s="871">
        <f>+AA38+AB38</f>
        <v>0</v>
      </c>
    </row>
    <row r="39" spans="2:30" s="23" customFormat="1" ht="30.75" customHeight="1" thickBot="1">
      <c r="B39" s="350"/>
      <c r="C39" s="350"/>
      <c r="D39" s="350"/>
      <c r="E39" s="350"/>
      <c r="F39" s="351" t="s">
        <v>256</v>
      </c>
      <c r="G39" s="773">
        <f aca="true" t="shared" si="11" ref="G39:Z39">SUM(G34:G38)+SUM(G19:G32)</f>
        <v>1665</v>
      </c>
      <c r="H39" s="774">
        <f t="shared" si="11"/>
        <v>1665</v>
      </c>
      <c r="I39" s="774">
        <f t="shared" si="11"/>
        <v>1665</v>
      </c>
      <c r="J39" s="774">
        <f t="shared" si="11"/>
        <v>1665</v>
      </c>
      <c r="K39" s="774">
        <f t="shared" si="11"/>
        <v>1665</v>
      </c>
      <c r="L39" s="774">
        <f t="shared" si="11"/>
        <v>1665</v>
      </c>
      <c r="M39" s="774">
        <f t="shared" si="11"/>
        <v>1665</v>
      </c>
      <c r="N39" s="774">
        <f t="shared" si="11"/>
        <v>1665</v>
      </c>
      <c r="O39" s="774">
        <f t="shared" si="11"/>
        <v>1665</v>
      </c>
      <c r="P39" s="774">
        <f t="shared" si="11"/>
        <v>1665</v>
      </c>
      <c r="Q39" s="774">
        <f t="shared" si="11"/>
        <v>1665</v>
      </c>
      <c r="R39" s="774">
        <f t="shared" si="11"/>
        <v>1665</v>
      </c>
      <c r="S39" s="774">
        <f t="shared" si="11"/>
        <v>1665</v>
      </c>
      <c r="T39" s="774">
        <f t="shared" si="11"/>
        <v>1665</v>
      </c>
      <c r="U39" s="774">
        <f t="shared" si="11"/>
        <v>1665</v>
      </c>
      <c r="V39" s="774">
        <f t="shared" si="11"/>
        <v>1665</v>
      </c>
      <c r="W39" s="774">
        <f t="shared" si="11"/>
        <v>1665</v>
      </c>
      <c r="X39" s="774">
        <f t="shared" si="11"/>
        <v>1665</v>
      </c>
      <c r="Y39" s="774">
        <f t="shared" si="11"/>
        <v>1665</v>
      </c>
      <c r="Z39" s="775">
        <f t="shared" si="11"/>
        <v>1665</v>
      </c>
      <c r="AA39" s="172"/>
      <c r="AB39" s="172"/>
      <c r="AC39" s="353" t="s">
        <v>169</v>
      </c>
      <c r="AD39" s="352"/>
    </row>
    <row r="40" spans="2:29" s="23" customFormat="1" ht="30.75" customHeight="1" thickBot="1">
      <c r="B40" s="43"/>
      <c r="C40" s="43"/>
      <c r="D40" s="43"/>
      <c r="E40" s="43"/>
      <c r="F40" s="45" t="s">
        <v>257</v>
      </c>
      <c r="G40" s="795">
        <f aca="true" t="shared" si="12" ref="G40:Z40">G39*(1+$G$14)^-(G18-1)</f>
        <v>1665</v>
      </c>
      <c r="H40" s="796">
        <f t="shared" si="12"/>
        <v>1613.3720930232557</v>
      </c>
      <c r="I40" s="796">
        <f t="shared" si="12"/>
        <v>1563.3450513791238</v>
      </c>
      <c r="J40" s="796">
        <f t="shared" si="12"/>
        <v>1514.8692358324845</v>
      </c>
      <c r="K40" s="796">
        <f t="shared" si="12"/>
        <v>1467.8965463493066</v>
      </c>
      <c r="L40" s="796">
        <f t="shared" si="12"/>
        <v>1422.380374369483</v>
      </c>
      <c r="M40" s="796">
        <f t="shared" si="12"/>
        <v>1378.2755565595767</v>
      </c>
      <c r="N40" s="796">
        <f t="shared" si="12"/>
        <v>1335.53832999959</v>
      </c>
      <c r="O40" s="796">
        <f t="shared" si="12"/>
        <v>1294.1262887592925</v>
      </c>
      <c r="P40" s="796">
        <f t="shared" si="12"/>
        <v>1253.9983418210197</v>
      </c>
      <c r="Q40" s="796">
        <f t="shared" si="12"/>
        <v>1215.1146723071897</v>
      </c>
      <c r="R40" s="796">
        <f t="shared" si="12"/>
        <v>1177.4366979720833</v>
      </c>
      <c r="S40" s="796">
        <f t="shared" si="12"/>
        <v>1140.9270329186852</v>
      </c>
      <c r="T40" s="796">
        <f t="shared" si="12"/>
        <v>1105.5494505026018</v>
      </c>
      <c r="U40" s="796">
        <f t="shared" si="12"/>
        <v>1071.2688473862424</v>
      </c>
      <c r="V40" s="796">
        <f t="shared" si="12"/>
        <v>1038.0512087075992</v>
      </c>
      <c r="W40" s="796">
        <f t="shared" si="12"/>
        <v>1005.8635743290688</v>
      </c>
      <c r="X40" s="796">
        <f t="shared" si="12"/>
        <v>974.6740061328186</v>
      </c>
      <c r="Y40" s="796">
        <f t="shared" si="12"/>
        <v>944.4515563302506</v>
      </c>
      <c r="Z40" s="797">
        <f t="shared" si="12"/>
        <v>915.166236754119</v>
      </c>
      <c r="AA40" s="798">
        <f>SUM(AA34:AA38)+SUM(AA19:AA32)</f>
        <v>25097.30510143379</v>
      </c>
      <c r="AB40" s="799">
        <f>SUM(AB34:AB38)+SUM(AB19:AB32)</f>
        <v>28598.94489856619</v>
      </c>
      <c r="AC40" s="800">
        <f>+AA40+AB40</f>
        <v>53696.249999999985</v>
      </c>
    </row>
    <row r="41" spans="2:31" s="23" customFormat="1" ht="18.75" customHeight="1">
      <c r="B41" s="43"/>
      <c r="C41" s="43"/>
      <c r="D41" s="43"/>
      <c r="E41" s="43"/>
      <c r="F41" s="45"/>
      <c r="G41" s="47"/>
      <c r="H41" s="47"/>
      <c r="I41" s="47"/>
      <c r="J41" s="47"/>
      <c r="K41" s="47"/>
      <c r="L41" s="47"/>
      <c r="M41" s="47"/>
      <c r="N41" s="47"/>
      <c r="O41" s="47"/>
      <c r="P41" s="47"/>
      <c r="Q41" s="47"/>
      <c r="R41" s="47"/>
      <c r="S41" s="47"/>
      <c r="T41" s="47"/>
      <c r="U41" s="47"/>
      <c r="V41" s="47"/>
      <c r="W41" s="47"/>
      <c r="X41" s="47"/>
      <c r="Y41" s="47"/>
      <c r="Z41" s="47"/>
      <c r="AA41" s="47"/>
      <c r="AB41" s="47"/>
      <c r="AC41" s="45"/>
      <c r="AD41" s="45"/>
      <c r="AE41" s="45"/>
    </row>
    <row r="42" spans="5:28" s="23" customFormat="1" ht="20.25" customHeight="1">
      <c r="E42" s="109" t="s">
        <v>178</v>
      </c>
      <c r="F42" s="110"/>
      <c r="G42" s="111">
        <f aca="true" t="shared" si="13" ref="G42:Z42">+(1+$G$14)^-(G18-1)</f>
        <v>1</v>
      </c>
      <c r="H42" s="111">
        <f t="shared" si="13"/>
        <v>0.9689922480620154</v>
      </c>
      <c r="I42" s="111">
        <f t="shared" si="13"/>
        <v>0.9389459768042786</v>
      </c>
      <c r="J42" s="111">
        <f t="shared" si="13"/>
        <v>0.909831372872363</v>
      </c>
      <c r="K42" s="111">
        <f t="shared" si="13"/>
        <v>0.8816195473569409</v>
      </c>
      <c r="L42" s="111">
        <f t="shared" si="13"/>
        <v>0.8542825071288186</v>
      </c>
      <c r="M42" s="111">
        <f t="shared" si="13"/>
        <v>0.8277931270628088</v>
      </c>
      <c r="N42" s="111">
        <f t="shared" si="13"/>
        <v>0.8021251231228769</v>
      </c>
      <c r="O42" s="111">
        <f t="shared" si="13"/>
        <v>0.7772530262818573</v>
      </c>
      <c r="P42" s="111">
        <f t="shared" si="13"/>
        <v>0.7531521572498617</v>
      </c>
      <c r="Q42" s="111">
        <f t="shared" si="13"/>
        <v>0.7297986019863002</v>
      </c>
      <c r="R42" s="111">
        <f t="shared" si="13"/>
        <v>0.7071691879712212</v>
      </c>
      <c r="S42" s="111">
        <f t="shared" si="13"/>
        <v>0.6852414612124236</v>
      </c>
      <c r="T42" s="111">
        <f t="shared" si="13"/>
        <v>0.6639936639655266</v>
      </c>
      <c r="U42" s="111">
        <f t="shared" si="13"/>
        <v>0.6434047131448903</v>
      </c>
      <c r="V42" s="111">
        <f t="shared" si="13"/>
        <v>0.6234541794039635</v>
      </c>
      <c r="W42" s="111">
        <f t="shared" si="13"/>
        <v>0.6041222668643056</v>
      </c>
      <c r="X42" s="111">
        <f t="shared" si="13"/>
        <v>0.5853897934731643</v>
      </c>
      <c r="Y42" s="111">
        <f t="shared" si="13"/>
        <v>0.5672381719701205</v>
      </c>
      <c r="Z42" s="112">
        <f t="shared" si="13"/>
        <v>0.5496493914439153</v>
      </c>
      <c r="AA42" s="48"/>
      <c r="AB42" s="48"/>
    </row>
    <row r="43" spans="3:30" ht="19.5" customHeight="1">
      <c r="C43" s="11"/>
      <c r="D43" s="11"/>
      <c r="F43" s="49"/>
      <c r="G43" s="50"/>
      <c r="H43" s="50"/>
      <c r="I43" s="50"/>
      <c r="J43" s="50"/>
      <c r="K43" s="50"/>
      <c r="L43" s="50"/>
      <c r="M43" s="50"/>
      <c r="N43" s="50"/>
      <c r="O43" s="50"/>
      <c r="P43" s="50"/>
      <c r="Q43" s="51"/>
      <c r="R43" s="51"/>
      <c r="S43" s="51"/>
      <c r="T43" s="51"/>
      <c r="U43" s="51"/>
      <c r="V43" s="51"/>
      <c r="W43" s="51"/>
      <c r="X43" s="48"/>
      <c r="Y43" s="48"/>
      <c r="Z43" s="48"/>
      <c r="AA43" s="48"/>
      <c r="AB43" s="48"/>
      <c r="AC43" s="11"/>
      <c r="AD43" s="11"/>
    </row>
    <row r="44" spans="3:30" ht="24" customHeight="1" thickBot="1">
      <c r="C44" s="11"/>
      <c r="D44" s="11"/>
      <c r="F44" s="52"/>
      <c r="G44" s="13"/>
      <c r="H44" s="13"/>
      <c r="I44" s="48"/>
      <c r="J44" s="48"/>
      <c r="K44" s="48"/>
      <c r="L44" s="48"/>
      <c r="M44" s="48"/>
      <c r="N44" s="48"/>
      <c r="O44" s="48"/>
      <c r="P44" s="48"/>
      <c r="Q44" s="48"/>
      <c r="R44" s="48"/>
      <c r="S44" s="48"/>
      <c r="T44" s="48"/>
      <c r="U44" s="48"/>
      <c r="V44" s="48"/>
      <c r="W44" s="48"/>
      <c r="X44" s="48"/>
      <c r="Y44" s="48"/>
      <c r="Z44" s="48"/>
      <c r="AA44" s="48"/>
      <c r="AB44" s="13"/>
      <c r="AC44" s="11"/>
      <c r="AD44" s="11"/>
    </row>
    <row r="45" spans="3:30" ht="41.25" customHeight="1">
      <c r="C45" s="11"/>
      <c r="D45" s="11"/>
      <c r="E45" s="10"/>
      <c r="F45" s="10"/>
      <c r="G45" s="530" t="s">
        <v>57</v>
      </c>
      <c r="H45" s="531"/>
      <c r="I45" s="531"/>
      <c r="J45" s="531"/>
      <c r="K45" s="531"/>
      <c r="L45" s="531"/>
      <c r="M45" s="531"/>
      <c r="N45" s="531"/>
      <c r="O45" s="531"/>
      <c r="P45" s="531"/>
      <c r="Q45" s="531"/>
      <c r="R45" s="531"/>
      <c r="S45" s="531"/>
      <c r="T45" s="531"/>
      <c r="U45" s="531"/>
      <c r="V45" s="531"/>
      <c r="W45" s="531"/>
      <c r="X45" s="531"/>
      <c r="Y45" s="531"/>
      <c r="Z45" s="531"/>
      <c r="AA45" s="515" t="s">
        <v>131</v>
      </c>
      <c r="AB45" s="515" t="s">
        <v>130</v>
      </c>
      <c r="AC45" s="515" t="s">
        <v>129</v>
      </c>
      <c r="AD45" s="11"/>
    </row>
    <row r="46" spans="3:30" ht="33.75" customHeight="1" thickBot="1">
      <c r="C46" s="10"/>
      <c r="D46" s="10"/>
      <c r="E46" s="10"/>
      <c r="F46" s="10"/>
      <c r="G46" s="299">
        <v>1</v>
      </c>
      <c r="H46" s="297">
        <v>2</v>
      </c>
      <c r="I46" s="297">
        <v>3</v>
      </c>
      <c r="J46" s="297">
        <v>4</v>
      </c>
      <c r="K46" s="297">
        <v>5</v>
      </c>
      <c r="L46" s="297">
        <v>6</v>
      </c>
      <c r="M46" s="297">
        <v>7</v>
      </c>
      <c r="N46" s="297">
        <v>8</v>
      </c>
      <c r="O46" s="297">
        <v>9</v>
      </c>
      <c r="P46" s="297">
        <v>10</v>
      </c>
      <c r="Q46" s="297">
        <v>11</v>
      </c>
      <c r="R46" s="297">
        <v>12</v>
      </c>
      <c r="S46" s="297">
        <v>13</v>
      </c>
      <c r="T46" s="297">
        <v>14</v>
      </c>
      <c r="U46" s="297">
        <v>15</v>
      </c>
      <c r="V46" s="297">
        <v>16</v>
      </c>
      <c r="W46" s="297">
        <v>17</v>
      </c>
      <c r="X46" s="297">
        <v>18</v>
      </c>
      <c r="Y46" s="297">
        <v>19</v>
      </c>
      <c r="Z46" s="298">
        <v>20</v>
      </c>
      <c r="AA46" s="520"/>
      <c r="AB46" s="520"/>
      <c r="AC46" s="520"/>
      <c r="AD46" s="11"/>
    </row>
    <row r="47" spans="2:30" ht="24" customHeight="1">
      <c r="B47" s="524" t="s">
        <v>258</v>
      </c>
      <c r="C47" s="525"/>
      <c r="D47" s="525"/>
      <c r="E47" s="525"/>
      <c r="F47" s="526"/>
      <c r="G47" s="293">
        <f>G39</f>
        <v>1665</v>
      </c>
      <c r="H47" s="292">
        <f aca="true" t="shared" si="14" ref="H47:Z47">H39</f>
        <v>1665</v>
      </c>
      <c r="I47" s="292">
        <f t="shared" si="14"/>
        <v>1665</v>
      </c>
      <c r="J47" s="292">
        <f t="shared" si="14"/>
        <v>1665</v>
      </c>
      <c r="K47" s="292">
        <f t="shared" si="14"/>
        <v>1665</v>
      </c>
      <c r="L47" s="292">
        <f t="shared" si="14"/>
        <v>1665</v>
      </c>
      <c r="M47" s="292">
        <f t="shared" si="14"/>
        <v>1665</v>
      </c>
      <c r="N47" s="292">
        <f t="shared" si="14"/>
        <v>1665</v>
      </c>
      <c r="O47" s="292">
        <f t="shared" si="14"/>
        <v>1665</v>
      </c>
      <c r="P47" s="292">
        <f>P39</f>
        <v>1665</v>
      </c>
      <c r="Q47" s="292">
        <f t="shared" si="14"/>
        <v>1665</v>
      </c>
      <c r="R47" s="292">
        <f t="shared" si="14"/>
        <v>1665</v>
      </c>
      <c r="S47" s="292">
        <f t="shared" si="14"/>
        <v>1665</v>
      </c>
      <c r="T47" s="292">
        <f t="shared" si="14"/>
        <v>1665</v>
      </c>
      <c r="U47" s="292">
        <f t="shared" si="14"/>
        <v>1665</v>
      </c>
      <c r="V47" s="292">
        <f t="shared" si="14"/>
        <v>1665</v>
      </c>
      <c r="W47" s="292">
        <f t="shared" si="14"/>
        <v>1665</v>
      </c>
      <c r="X47" s="292">
        <f t="shared" si="14"/>
        <v>1665</v>
      </c>
      <c r="Y47" s="292">
        <f t="shared" si="14"/>
        <v>1665</v>
      </c>
      <c r="Z47" s="300">
        <f t="shared" si="14"/>
        <v>1665</v>
      </c>
      <c r="AA47" s="804">
        <f>AA40</f>
        <v>25097.30510143379</v>
      </c>
      <c r="AB47" s="805">
        <f>AB40</f>
        <v>28598.94489856619</v>
      </c>
      <c r="AC47" s="806">
        <f>AC40</f>
        <v>53696.249999999985</v>
      </c>
      <c r="AD47" s="11"/>
    </row>
    <row r="48" spans="2:30" ht="24" customHeight="1">
      <c r="B48" s="521" t="s">
        <v>240</v>
      </c>
      <c r="C48" s="522"/>
      <c r="D48" s="522"/>
      <c r="E48" s="522"/>
      <c r="F48" s="523"/>
      <c r="G48" s="284">
        <f>G34</f>
        <v>1665</v>
      </c>
      <c r="H48" s="285">
        <f aca="true" t="shared" si="15" ref="H48:Z48">H34</f>
        <v>1665</v>
      </c>
      <c r="I48" s="285">
        <f t="shared" si="15"/>
        <v>1665</v>
      </c>
      <c r="J48" s="285">
        <f t="shared" si="15"/>
        <v>1665</v>
      </c>
      <c r="K48" s="285">
        <f t="shared" si="15"/>
        <v>1665</v>
      </c>
      <c r="L48" s="285">
        <f t="shared" si="15"/>
        <v>1665</v>
      </c>
      <c r="M48" s="285">
        <f t="shared" si="15"/>
        <v>1665</v>
      </c>
      <c r="N48" s="285">
        <f t="shared" si="15"/>
        <v>1665</v>
      </c>
      <c r="O48" s="285">
        <f t="shared" si="15"/>
        <v>1665</v>
      </c>
      <c r="P48" s="285">
        <f t="shared" si="15"/>
        <v>1665</v>
      </c>
      <c r="Q48" s="285">
        <f t="shared" si="15"/>
        <v>1665</v>
      </c>
      <c r="R48" s="285">
        <f t="shared" si="15"/>
        <v>1665</v>
      </c>
      <c r="S48" s="285">
        <f t="shared" si="15"/>
        <v>1665</v>
      </c>
      <c r="T48" s="285">
        <f t="shared" si="15"/>
        <v>1665</v>
      </c>
      <c r="U48" s="285">
        <f t="shared" si="15"/>
        <v>1665</v>
      </c>
      <c r="V48" s="285">
        <f t="shared" si="15"/>
        <v>1665</v>
      </c>
      <c r="W48" s="285">
        <f t="shared" si="15"/>
        <v>1665</v>
      </c>
      <c r="X48" s="285">
        <f t="shared" si="15"/>
        <v>1665</v>
      </c>
      <c r="Y48" s="285">
        <f t="shared" si="15"/>
        <v>1665</v>
      </c>
      <c r="Z48" s="286">
        <f t="shared" si="15"/>
        <v>1665</v>
      </c>
      <c r="AA48" s="807">
        <f>AA34</f>
        <v>25097.30510143379</v>
      </c>
      <c r="AB48" s="808">
        <f>AB34</f>
        <v>28598.94489856619</v>
      </c>
      <c r="AC48" s="809">
        <f>AC34</f>
        <v>53696.249999999985</v>
      </c>
      <c r="AD48" s="11"/>
    </row>
    <row r="49" spans="2:30" ht="24" customHeight="1">
      <c r="B49" s="527" t="str">
        <f>"Total amount payable to landowner"&amp;IF($C$8="yes"," (excluding GST)","")</f>
        <v>Total amount payable to landowner (excluding GST)</v>
      </c>
      <c r="C49" s="522"/>
      <c r="D49" s="522"/>
      <c r="E49" s="522"/>
      <c r="F49" s="523"/>
      <c r="G49" s="284">
        <f>G47-G48</f>
        <v>0</v>
      </c>
      <c r="H49" s="285">
        <f aca="true" t="shared" si="16" ref="H49:AC49">H47-H48</f>
        <v>0</v>
      </c>
      <c r="I49" s="285">
        <f t="shared" si="16"/>
        <v>0</v>
      </c>
      <c r="J49" s="285">
        <f t="shared" si="16"/>
        <v>0</v>
      </c>
      <c r="K49" s="285">
        <f t="shared" si="16"/>
        <v>0</v>
      </c>
      <c r="L49" s="285">
        <f t="shared" si="16"/>
        <v>0</v>
      </c>
      <c r="M49" s="285">
        <f t="shared" si="16"/>
        <v>0</v>
      </c>
      <c r="N49" s="285">
        <f t="shared" si="16"/>
        <v>0</v>
      </c>
      <c r="O49" s="285">
        <f t="shared" si="16"/>
        <v>0</v>
      </c>
      <c r="P49" s="285">
        <f t="shared" si="16"/>
        <v>0</v>
      </c>
      <c r="Q49" s="285">
        <f t="shared" si="16"/>
        <v>0</v>
      </c>
      <c r="R49" s="285">
        <f t="shared" si="16"/>
        <v>0</v>
      </c>
      <c r="S49" s="285">
        <f t="shared" si="16"/>
        <v>0</v>
      </c>
      <c r="T49" s="285">
        <f t="shared" si="16"/>
        <v>0</v>
      </c>
      <c r="U49" s="285">
        <f t="shared" si="16"/>
        <v>0</v>
      </c>
      <c r="V49" s="285">
        <f t="shared" si="16"/>
        <v>0</v>
      </c>
      <c r="W49" s="285">
        <f t="shared" si="16"/>
        <v>0</v>
      </c>
      <c r="X49" s="285">
        <f t="shared" si="16"/>
        <v>0</v>
      </c>
      <c r="Y49" s="285">
        <f t="shared" si="16"/>
        <v>0</v>
      </c>
      <c r="Z49" s="286">
        <f t="shared" si="16"/>
        <v>0</v>
      </c>
      <c r="AA49" s="807">
        <f t="shared" si="16"/>
        <v>0</v>
      </c>
      <c r="AB49" s="808">
        <f t="shared" si="16"/>
        <v>0</v>
      </c>
      <c r="AC49" s="809">
        <f t="shared" si="16"/>
        <v>0</v>
      </c>
      <c r="AD49" s="11"/>
    </row>
    <row r="50" spans="2:30" ht="24" customHeight="1">
      <c r="B50" s="528" t="str">
        <f>IF($C$8="yes","GST payable to landowner","")</f>
        <v>GST payable to landowner</v>
      </c>
      <c r="C50" s="528"/>
      <c r="D50" s="528"/>
      <c r="E50" s="528"/>
      <c r="F50" s="529"/>
      <c r="G50" s="284">
        <f>IF($C$8="Yes",G49*0.1,"")</f>
        <v>0</v>
      </c>
      <c r="H50" s="285">
        <f aca="true" t="shared" si="17" ref="H50:Z50">IF($C$8="Yes",H49*0.1,"")</f>
        <v>0</v>
      </c>
      <c r="I50" s="285">
        <f t="shared" si="17"/>
        <v>0</v>
      </c>
      <c r="J50" s="285">
        <f t="shared" si="17"/>
        <v>0</v>
      </c>
      <c r="K50" s="285">
        <f t="shared" si="17"/>
        <v>0</v>
      </c>
      <c r="L50" s="285">
        <f t="shared" si="17"/>
        <v>0</v>
      </c>
      <c r="M50" s="285">
        <f t="shared" si="17"/>
        <v>0</v>
      </c>
      <c r="N50" s="285">
        <f t="shared" si="17"/>
        <v>0</v>
      </c>
      <c r="O50" s="285">
        <f t="shared" si="17"/>
        <v>0</v>
      </c>
      <c r="P50" s="285">
        <f t="shared" si="17"/>
        <v>0</v>
      </c>
      <c r="Q50" s="285">
        <f t="shared" si="17"/>
        <v>0</v>
      </c>
      <c r="R50" s="285">
        <f t="shared" si="17"/>
        <v>0</v>
      </c>
      <c r="S50" s="285">
        <f t="shared" si="17"/>
        <v>0</v>
      </c>
      <c r="T50" s="285">
        <f t="shared" si="17"/>
        <v>0</v>
      </c>
      <c r="U50" s="285">
        <f t="shared" si="17"/>
        <v>0</v>
      </c>
      <c r="V50" s="285">
        <f t="shared" si="17"/>
        <v>0</v>
      </c>
      <c r="W50" s="285">
        <f t="shared" si="17"/>
        <v>0</v>
      </c>
      <c r="X50" s="285">
        <f t="shared" si="17"/>
        <v>0</v>
      </c>
      <c r="Y50" s="285">
        <f t="shared" si="17"/>
        <v>0</v>
      </c>
      <c r="Z50" s="286">
        <f t="shared" si="17"/>
        <v>0</v>
      </c>
      <c r="AA50" s="807">
        <f>IF($C$8="Yes",AA49*0.1,"")</f>
        <v>0</v>
      </c>
      <c r="AB50" s="808">
        <f>IF($C$8="Yes",AB49*0.1,"")</f>
        <v>0</v>
      </c>
      <c r="AC50" s="809">
        <f>IF($C$8="Yes",AC49*0.1,"")</f>
        <v>0</v>
      </c>
      <c r="AD50" s="11"/>
    </row>
    <row r="51" spans="2:30" ht="24" customHeight="1" thickBot="1">
      <c r="B51" s="872" t="str">
        <f>IF($C$8="yes","Total amount payable to landowner (including GST)","")</f>
        <v>Total amount payable to landowner (including GST)</v>
      </c>
      <c r="C51" s="873"/>
      <c r="D51" s="873"/>
      <c r="E51" s="873"/>
      <c r="F51" s="874"/>
      <c r="G51" s="875">
        <f>IF($C$8="Yes",G49*1.1,"")</f>
        <v>0</v>
      </c>
      <c r="H51" s="876">
        <f aca="true" t="shared" si="18" ref="H51:AC51">IF($C$8="Yes",H49*1.1,"")</f>
        <v>0</v>
      </c>
      <c r="I51" s="876">
        <f t="shared" si="18"/>
        <v>0</v>
      </c>
      <c r="J51" s="876">
        <f t="shared" si="18"/>
        <v>0</v>
      </c>
      <c r="K51" s="876">
        <f t="shared" si="18"/>
        <v>0</v>
      </c>
      <c r="L51" s="876">
        <f t="shared" si="18"/>
        <v>0</v>
      </c>
      <c r="M51" s="876">
        <f t="shared" si="18"/>
        <v>0</v>
      </c>
      <c r="N51" s="876">
        <f t="shared" si="18"/>
        <v>0</v>
      </c>
      <c r="O51" s="876">
        <f t="shared" si="18"/>
        <v>0</v>
      </c>
      <c r="P51" s="876">
        <f t="shared" si="18"/>
        <v>0</v>
      </c>
      <c r="Q51" s="876">
        <f t="shared" si="18"/>
        <v>0</v>
      </c>
      <c r="R51" s="876">
        <f t="shared" si="18"/>
        <v>0</v>
      </c>
      <c r="S51" s="876">
        <f t="shared" si="18"/>
        <v>0</v>
      </c>
      <c r="T51" s="876">
        <f t="shared" si="18"/>
        <v>0</v>
      </c>
      <c r="U51" s="876">
        <f t="shared" si="18"/>
        <v>0</v>
      </c>
      <c r="V51" s="876">
        <f t="shared" si="18"/>
        <v>0</v>
      </c>
      <c r="W51" s="876">
        <f t="shared" si="18"/>
        <v>0</v>
      </c>
      <c r="X51" s="876">
        <f t="shared" si="18"/>
        <v>0</v>
      </c>
      <c r="Y51" s="876">
        <f t="shared" si="18"/>
        <v>0</v>
      </c>
      <c r="Z51" s="877">
        <f t="shared" si="18"/>
        <v>0</v>
      </c>
      <c r="AA51" s="810">
        <f t="shared" si="18"/>
        <v>0</v>
      </c>
      <c r="AB51" s="811">
        <f t="shared" si="18"/>
        <v>0</v>
      </c>
      <c r="AC51" s="812">
        <f t="shared" si="18"/>
        <v>0</v>
      </c>
      <c r="AD51" s="55"/>
    </row>
    <row r="52" spans="2:33" ht="15">
      <c r="B52" s="20"/>
      <c r="F52" s="132"/>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55"/>
      <c r="AE52" s="271"/>
      <c r="AF52" s="271"/>
      <c r="AG52" s="271"/>
    </row>
    <row r="53" spans="2:30" ht="15">
      <c r="B53" s="20"/>
      <c r="F53" s="132"/>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55"/>
    </row>
    <row r="54" spans="2:30" ht="15">
      <c r="B54" s="20"/>
      <c r="F54" s="45"/>
      <c r="G54" s="114"/>
      <c r="H54" s="114"/>
      <c r="I54" s="114"/>
      <c r="J54" s="114"/>
      <c r="K54" s="114"/>
      <c r="L54" s="114"/>
      <c r="M54" s="114"/>
      <c r="N54" s="114"/>
      <c r="O54" s="114"/>
      <c r="P54" s="114"/>
      <c r="Q54" s="114"/>
      <c r="R54" s="114"/>
      <c r="S54" s="114"/>
      <c r="T54" s="114"/>
      <c r="U54" s="114"/>
      <c r="V54" s="114"/>
      <c r="W54" s="114"/>
      <c r="X54" s="114"/>
      <c r="Y54" s="114"/>
      <c r="Z54" s="114"/>
      <c r="AA54" s="114"/>
      <c r="AB54" s="114"/>
      <c r="AC54" s="115"/>
      <c r="AD54" s="55"/>
    </row>
    <row r="55" spans="2:30" ht="15">
      <c r="B55" s="20"/>
      <c r="F55" s="45"/>
      <c r="G55" s="114"/>
      <c r="H55" s="114"/>
      <c r="I55" s="114"/>
      <c r="J55" s="114"/>
      <c r="K55" s="114"/>
      <c r="L55" s="114"/>
      <c r="M55" s="114"/>
      <c r="N55" s="114"/>
      <c r="O55" s="114"/>
      <c r="P55" s="114"/>
      <c r="Q55" s="114"/>
      <c r="R55" s="114"/>
      <c r="S55" s="114"/>
      <c r="T55" s="114"/>
      <c r="U55" s="114"/>
      <c r="V55" s="114"/>
      <c r="W55" s="114"/>
      <c r="X55" s="114"/>
      <c r="Y55" s="114"/>
      <c r="Z55" s="114"/>
      <c r="AA55" s="114"/>
      <c r="AB55" s="114"/>
      <c r="AC55" s="115"/>
      <c r="AD55" s="55"/>
    </row>
    <row r="56" spans="2:30" ht="15">
      <c r="B56" s="20"/>
      <c r="F56" s="45"/>
      <c r="G56" s="114"/>
      <c r="H56" s="114"/>
      <c r="I56" s="114"/>
      <c r="J56" s="114"/>
      <c r="K56" s="114"/>
      <c r="L56" s="114"/>
      <c r="M56" s="114"/>
      <c r="N56" s="114"/>
      <c r="O56" s="114"/>
      <c r="P56" s="114"/>
      <c r="Q56" s="114"/>
      <c r="R56" s="114"/>
      <c r="S56" s="114"/>
      <c r="T56" s="114"/>
      <c r="U56" s="114"/>
      <c r="V56" s="114"/>
      <c r="W56" s="114"/>
      <c r="X56" s="114"/>
      <c r="Y56" s="114"/>
      <c r="Z56" s="114"/>
      <c r="AA56" s="114"/>
      <c r="AB56" s="114"/>
      <c r="AC56" s="115"/>
      <c r="AD56" s="55"/>
    </row>
    <row r="57" spans="2:30" ht="12">
      <c r="B57" s="20"/>
      <c r="G57" s="56"/>
      <c r="H57" s="10"/>
      <c r="I57" s="10"/>
      <c r="J57" s="10"/>
      <c r="K57" s="10"/>
      <c r="L57" s="10"/>
      <c r="M57" s="10"/>
      <c r="N57" s="10"/>
      <c r="O57" s="10"/>
      <c r="P57" s="10"/>
      <c r="Q57" s="10"/>
      <c r="R57" s="10"/>
      <c r="S57" s="10"/>
      <c r="T57" s="10"/>
      <c r="U57" s="10"/>
      <c r="V57" s="10"/>
      <c r="W57" s="10"/>
      <c r="X57" s="10"/>
      <c r="Y57" s="10"/>
      <c r="Z57" s="10"/>
      <c r="AA57" s="10"/>
      <c r="AB57" s="57"/>
      <c r="AC57" s="57"/>
      <c r="AD57" s="57"/>
    </row>
    <row r="58" spans="7:30" ht="12">
      <c r="G58" s="56"/>
      <c r="H58" s="10"/>
      <c r="I58" s="10"/>
      <c r="J58" s="10"/>
      <c r="K58" s="10"/>
      <c r="L58" s="10"/>
      <c r="M58" s="10"/>
      <c r="N58" s="10"/>
      <c r="O58" s="10"/>
      <c r="P58" s="10"/>
      <c r="Q58" s="10"/>
      <c r="R58" s="10"/>
      <c r="S58" s="10"/>
      <c r="T58" s="10"/>
      <c r="U58" s="10"/>
      <c r="V58" s="10"/>
      <c r="W58" s="10"/>
      <c r="X58" s="10"/>
      <c r="Y58" s="10"/>
      <c r="Z58" s="10"/>
      <c r="AA58" s="10"/>
      <c r="AB58" s="57"/>
      <c r="AC58" s="57"/>
      <c r="AD58" s="57"/>
    </row>
    <row r="59" spans="7:30" ht="12">
      <c r="G59" s="56"/>
      <c r="H59" s="10"/>
      <c r="I59" s="10"/>
      <c r="J59" s="10"/>
      <c r="K59" s="10"/>
      <c r="L59" s="10"/>
      <c r="M59" s="10"/>
      <c r="N59" s="10"/>
      <c r="O59" s="10"/>
      <c r="P59" s="10"/>
      <c r="Q59" s="10"/>
      <c r="R59" s="10"/>
      <c r="S59" s="10"/>
      <c r="T59" s="10"/>
      <c r="U59" s="10"/>
      <c r="V59" s="10"/>
      <c r="W59" s="10"/>
      <c r="X59" s="10"/>
      <c r="Y59" s="10"/>
      <c r="Z59" s="10"/>
      <c r="AA59" s="10"/>
      <c r="AB59" s="57"/>
      <c r="AC59" s="57"/>
      <c r="AD59" s="57"/>
    </row>
    <row r="60" spans="7:30" ht="12">
      <c r="G60" s="56"/>
      <c r="H60" s="10"/>
      <c r="I60" s="10"/>
      <c r="J60" s="10"/>
      <c r="K60" s="10"/>
      <c r="L60" s="10"/>
      <c r="M60" s="10"/>
      <c r="N60" s="10"/>
      <c r="O60" s="10"/>
      <c r="P60" s="10"/>
      <c r="Q60" s="10"/>
      <c r="R60" s="10"/>
      <c r="S60" s="10"/>
      <c r="T60" s="10"/>
      <c r="U60" s="10"/>
      <c r="V60" s="10"/>
      <c r="W60" s="10"/>
      <c r="X60" s="10"/>
      <c r="Y60" s="10"/>
      <c r="Z60" s="10"/>
      <c r="AA60" s="10"/>
      <c r="AB60" s="57"/>
      <c r="AC60" s="57"/>
      <c r="AD60" s="57"/>
    </row>
    <row r="61" spans="6:30" ht="12">
      <c r="F61" s="58"/>
      <c r="G61" s="10"/>
      <c r="H61" s="10"/>
      <c r="I61" s="10"/>
      <c r="J61" s="10"/>
      <c r="K61" s="10"/>
      <c r="L61" s="10"/>
      <c r="M61" s="10"/>
      <c r="N61" s="10"/>
      <c r="O61" s="10"/>
      <c r="P61" s="10"/>
      <c r="Q61" s="10"/>
      <c r="R61" s="10"/>
      <c r="S61" s="10"/>
      <c r="T61" s="10"/>
      <c r="U61" s="10"/>
      <c r="V61" s="10"/>
      <c r="W61" s="10"/>
      <c r="X61" s="10"/>
      <c r="Y61" s="10"/>
      <c r="Z61" s="10"/>
      <c r="AA61" s="10"/>
      <c r="AB61" s="57"/>
      <c r="AC61" s="57"/>
      <c r="AD61" s="57"/>
    </row>
    <row r="62" spans="2:30" ht="12">
      <c r="B62" s="11"/>
      <c r="C62" s="11"/>
      <c r="D62" s="11"/>
      <c r="E62" s="11"/>
      <c r="F62" s="11"/>
      <c r="G62" s="11"/>
      <c r="H62" s="10"/>
      <c r="I62" s="10"/>
      <c r="J62" s="10"/>
      <c r="K62" s="10"/>
      <c r="L62" s="10"/>
      <c r="M62" s="10"/>
      <c r="N62" s="10"/>
      <c r="O62" s="10"/>
      <c r="P62" s="10"/>
      <c r="Q62" s="10"/>
      <c r="R62" s="10"/>
      <c r="S62" s="10"/>
      <c r="T62" s="10"/>
      <c r="U62" s="10"/>
      <c r="V62" s="10"/>
      <c r="W62" s="10"/>
      <c r="X62" s="10"/>
      <c r="Y62" s="10"/>
      <c r="Z62" s="10"/>
      <c r="AA62" s="10"/>
      <c r="AB62" s="57"/>
      <c r="AC62" s="57"/>
      <c r="AD62" s="57"/>
    </row>
    <row r="63" spans="2:30" ht="12">
      <c r="B63" s="11"/>
      <c r="C63" s="11"/>
      <c r="D63" s="11"/>
      <c r="E63" s="11"/>
      <c r="F63" s="11"/>
      <c r="G63" s="11"/>
      <c r="H63" s="10"/>
      <c r="I63" s="10"/>
      <c r="J63" s="10"/>
      <c r="K63" s="10"/>
      <c r="L63" s="10"/>
      <c r="M63" s="10"/>
      <c r="N63" s="10"/>
      <c r="O63" s="10"/>
      <c r="P63" s="10"/>
      <c r="Q63" s="10"/>
      <c r="R63" s="10"/>
      <c r="S63" s="10"/>
      <c r="T63" s="10"/>
      <c r="U63" s="10"/>
      <c r="V63" s="10"/>
      <c r="W63" s="10"/>
      <c r="X63" s="10"/>
      <c r="Y63" s="10"/>
      <c r="Z63" s="10"/>
      <c r="AA63" s="10"/>
      <c r="AB63" s="10"/>
      <c r="AC63" s="10"/>
      <c r="AD63" s="10"/>
    </row>
    <row r="64" spans="2:30" ht="12.75" customHeight="1">
      <c r="B64" s="11"/>
      <c r="C64" s="11"/>
      <c r="D64" s="11"/>
      <c r="E64" s="11"/>
      <c r="F64" s="11"/>
      <c r="G64" s="11"/>
      <c r="H64" s="10"/>
      <c r="I64" s="10"/>
      <c r="J64" s="10"/>
      <c r="K64" s="10"/>
      <c r="L64" s="10"/>
      <c r="M64" s="10"/>
      <c r="N64" s="10"/>
      <c r="O64" s="10"/>
      <c r="P64" s="10"/>
      <c r="Q64" s="10"/>
      <c r="R64" s="10"/>
      <c r="S64" s="10"/>
      <c r="T64" s="10"/>
      <c r="U64" s="10"/>
      <c r="V64" s="10"/>
      <c r="W64" s="10"/>
      <c r="X64" s="10"/>
      <c r="Y64" s="10"/>
      <c r="Z64" s="10"/>
      <c r="AA64" s="10"/>
      <c r="AB64" s="10"/>
      <c r="AC64" s="10"/>
      <c r="AD64" s="10"/>
    </row>
    <row r="65" spans="2:30" ht="28.5" customHeight="1">
      <c r="B65" s="11"/>
      <c r="C65" s="11"/>
      <c r="D65" s="11"/>
      <c r="E65" s="11"/>
      <c r="F65" s="11"/>
      <c r="G65" s="11"/>
      <c r="H65" s="10"/>
      <c r="I65" s="10"/>
      <c r="J65" s="10"/>
      <c r="K65" s="10"/>
      <c r="L65" s="10"/>
      <c r="M65" s="10"/>
      <c r="N65" s="10"/>
      <c r="O65" s="10"/>
      <c r="P65" s="10"/>
      <c r="Q65" s="10"/>
      <c r="R65" s="10"/>
      <c r="S65" s="10"/>
      <c r="T65" s="10"/>
      <c r="U65" s="10"/>
      <c r="V65" s="10"/>
      <c r="W65" s="10"/>
      <c r="X65" s="10"/>
      <c r="Y65" s="10"/>
      <c r="Z65" s="10"/>
      <c r="AA65" s="10"/>
      <c r="AB65" s="10"/>
      <c r="AC65" s="10"/>
      <c r="AD65" s="10"/>
    </row>
    <row r="66" spans="2:30" ht="15" customHeight="1">
      <c r="B66" s="11"/>
      <c r="C66" s="11"/>
      <c r="D66" s="11"/>
      <c r="E66" s="11"/>
      <c r="F66" s="11"/>
      <c r="G66" s="11"/>
      <c r="H66" s="10"/>
      <c r="I66" s="10"/>
      <c r="J66" s="10"/>
      <c r="K66" s="10"/>
      <c r="L66" s="10"/>
      <c r="M66" s="10"/>
      <c r="N66" s="10"/>
      <c r="O66" s="10"/>
      <c r="P66" s="10"/>
      <c r="Q66" s="10"/>
      <c r="R66" s="10"/>
      <c r="S66" s="10"/>
      <c r="T66" s="10"/>
      <c r="U66" s="10"/>
      <c r="V66" s="10"/>
      <c r="W66" s="10"/>
      <c r="X66" s="10"/>
      <c r="Y66" s="10"/>
      <c r="Z66" s="10"/>
      <c r="AA66" s="10"/>
      <c r="AB66" s="10"/>
      <c r="AC66" s="10"/>
      <c r="AD66" s="10"/>
    </row>
    <row r="67" spans="2:30" ht="15" customHeight="1">
      <c r="B67" s="11"/>
      <c r="C67" s="11"/>
      <c r="D67" s="11"/>
      <c r="E67" s="11"/>
      <c r="F67" s="11"/>
      <c r="G67" s="11"/>
      <c r="H67" s="10"/>
      <c r="I67" s="10"/>
      <c r="J67" s="10"/>
      <c r="K67" s="10"/>
      <c r="L67" s="10"/>
      <c r="M67" s="10"/>
      <c r="N67" s="10"/>
      <c r="O67" s="10"/>
      <c r="P67" s="10"/>
      <c r="Q67" s="10"/>
      <c r="R67" s="10"/>
      <c r="S67" s="10"/>
      <c r="T67" s="10"/>
      <c r="U67" s="10"/>
      <c r="V67" s="10"/>
      <c r="W67" s="10"/>
      <c r="X67" s="10"/>
      <c r="Y67" s="10"/>
      <c r="Z67" s="10"/>
      <c r="AA67" s="10"/>
      <c r="AB67" s="10"/>
      <c r="AC67" s="10"/>
      <c r="AD67" s="10"/>
    </row>
    <row r="68" spans="2:30" ht="15" customHeight="1">
      <c r="B68" s="11"/>
      <c r="C68" s="11"/>
      <c r="D68" s="11"/>
      <c r="E68" s="11"/>
      <c r="F68" s="11"/>
      <c r="G68" s="11"/>
      <c r="H68" s="10"/>
      <c r="I68" s="10"/>
      <c r="J68" s="10"/>
      <c r="K68" s="10"/>
      <c r="L68" s="10"/>
      <c r="M68" s="10"/>
      <c r="N68" s="10"/>
      <c r="O68" s="10"/>
      <c r="P68" s="10"/>
      <c r="Q68" s="10"/>
      <c r="R68" s="10"/>
      <c r="S68" s="10"/>
      <c r="T68" s="10"/>
      <c r="U68" s="10"/>
      <c r="V68" s="10"/>
      <c r="W68" s="10"/>
      <c r="X68" s="10"/>
      <c r="Y68" s="10"/>
      <c r="Z68" s="10"/>
      <c r="AA68" s="10"/>
      <c r="AB68" s="10"/>
      <c r="AC68" s="10"/>
      <c r="AD68" s="10"/>
    </row>
    <row r="69" spans="2:30" ht="15" customHeight="1">
      <c r="B69" s="11"/>
      <c r="C69" s="11"/>
      <c r="D69" s="11"/>
      <c r="E69" s="11"/>
      <c r="F69" s="11"/>
      <c r="G69" s="11"/>
      <c r="H69" s="10"/>
      <c r="I69" s="10"/>
      <c r="J69" s="10"/>
      <c r="K69" s="10"/>
      <c r="L69" s="10"/>
      <c r="M69" s="10"/>
      <c r="N69" s="10"/>
      <c r="O69" s="10"/>
      <c r="P69" s="10"/>
      <c r="Q69" s="10"/>
      <c r="R69" s="10"/>
      <c r="S69" s="10"/>
      <c r="T69" s="10"/>
      <c r="U69" s="10"/>
      <c r="V69" s="10"/>
      <c r="W69" s="10"/>
      <c r="X69" s="10"/>
      <c r="Y69" s="10"/>
      <c r="Z69" s="10"/>
      <c r="AA69" s="10"/>
      <c r="AB69" s="10"/>
      <c r="AC69" s="10"/>
      <c r="AD69" s="10"/>
    </row>
    <row r="70" spans="2:30" ht="12">
      <c r="B70" s="11"/>
      <c r="C70" s="11"/>
      <c r="D70" s="11"/>
      <c r="E70" s="11"/>
      <c r="F70" s="11"/>
      <c r="G70" s="11"/>
      <c r="H70" s="10"/>
      <c r="I70" s="10"/>
      <c r="J70" s="10"/>
      <c r="K70" s="10"/>
      <c r="L70" s="10"/>
      <c r="M70" s="10"/>
      <c r="N70" s="10"/>
      <c r="O70" s="10"/>
      <c r="P70" s="10"/>
      <c r="Q70" s="10"/>
      <c r="R70" s="10"/>
      <c r="S70" s="10"/>
      <c r="T70" s="10"/>
      <c r="U70" s="10"/>
      <c r="V70" s="10"/>
      <c r="W70" s="10"/>
      <c r="X70" s="10"/>
      <c r="Y70" s="10"/>
      <c r="Z70" s="10"/>
      <c r="AA70" s="10"/>
      <c r="AB70" s="10"/>
      <c r="AC70" s="10"/>
      <c r="AD70" s="10"/>
    </row>
    <row r="71" spans="2:30" ht="15" customHeight="1">
      <c r="B71" s="11"/>
      <c r="C71" s="11"/>
      <c r="D71" s="11"/>
      <c r="E71" s="11"/>
      <c r="F71" s="11"/>
      <c r="G71" s="11"/>
      <c r="H71" s="10"/>
      <c r="I71" s="10"/>
      <c r="J71" s="10"/>
      <c r="K71" s="10"/>
      <c r="L71" s="10"/>
      <c r="M71" s="10"/>
      <c r="N71" s="10"/>
      <c r="O71" s="10"/>
      <c r="P71" s="10"/>
      <c r="Q71" s="10"/>
      <c r="R71" s="10"/>
      <c r="S71" s="10"/>
      <c r="T71" s="10"/>
      <c r="U71" s="10"/>
      <c r="V71" s="10"/>
      <c r="W71" s="10"/>
      <c r="X71" s="10"/>
      <c r="Y71" s="10"/>
      <c r="Z71" s="10"/>
      <c r="AA71" s="10"/>
      <c r="AB71" s="10"/>
      <c r="AC71" s="10"/>
      <c r="AD71" s="10"/>
    </row>
    <row r="72" spans="2:30" ht="12">
      <c r="B72" s="11"/>
      <c r="C72" s="11"/>
      <c r="D72" s="11"/>
      <c r="E72" s="11"/>
      <c r="F72" s="11"/>
      <c r="G72" s="11"/>
      <c r="H72" s="10"/>
      <c r="I72" s="10"/>
      <c r="J72" s="10"/>
      <c r="K72" s="10"/>
      <c r="L72" s="10"/>
      <c r="M72" s="10"/>
      <c r="N72" s="10"/>
      <c r="O72" s="10"/>
      <c r="P72" s="10"/>
      <c r="Q72" s="10"/>
      <c r="R72" s="10"/>
      <c r="S72" s="10"/>
      <c r="T72" s="10"/>
      <c r="U72" s="10"/>
      <c r="V72" s="10"/>
      <c r="W72" s="10"/>
      <c r="X72" s="10"/>
      <c r="Y72" s="10"/>
      <c r="Z72" s="10"/>
      <c r="AA72" s="10"/>
      <c r="AB72" s="10"/>
      <c r="AC72" s="10"/>
      <c r="AD72" s="10"/>
    </row>
    <row r="73" spans="2:30" ht="12">
      <c r="B73" s="11"/>
      <c r="C73" s="11"/>
      <c r="D73" s="11"/>
      <c r="E73" s="11"/>
      <c r="F73" s="11"/>
      <c r="G73" s="11"/>
      <c r="H73" s="10"/>
      <c r="I73" s="10"/>
      <c r="J73" s="10"/>
      <c r="K73" s="10"/>
      <c r="L73" s="10"/>
      <c r="M73" s="10"/>
      <c r="N73" s="10"/>
      <c r="O73" s="10"/>
      <c r="P73" s="10"/>
      <c r="Q73" s="10"/>
      <c r="R73" s="10"/>
      <c r="S73" s="10"/>
      <c r="T73" s="10"/>
      <c r="U73" s="10"/>
      <c r="V73" s="10"/>
      <c r="W73" s="10"/>
      <c r="X73" s="10"/>
      <c r="Y73" s="10"/>
      <c r="Z73" s="10"/>
      <c r="AA73" s="10"/>
      <c r="AB73" s="10"/>
      <c r="AC73" s="10"/>
      <c r="AD73" s="10"/>
    </row>
    <row r="74" spans="2:30" ht="12">
      <c r="B74" s="11"/>
      <c r="C74" s="11"/>
      <c r="D74" s="11"/>
      <c r="E74" s="11"/>
      <c r="F74" s="11"/>
      <c r="G74" s="11"/>
      <c r="H74" s="10"/>
      <c r="I74" s="10"/>
      <c r="J74" s="10"/>
      <c r="K74" s="10"/>
      <c r="L74" s="10"/>
      <c r="M74" s="10"/>
      <c r="N74" s="10"/>
      <c r="O74" s="10"/>
      <c r="P74" s="10"/>
      <c r="Q74" s="10"/>
      <c r="R74" s="10"/>
      <c r="S74" s="10"/>
      <c r="T74" s="10"/>
      <c r="U74" s="10"/>
      <c r="V74" s="10"/>
      <c r="W74" s="10"/>
      <c r="X74" s="10"/>
      <c r="Y74" s="10"/>
      <c r="Z74" s="10"/>
      <c r="AA74" s="10"/>
      <c r="AB74" s="10"/>
      <c r="AC74" s="10"/>
      <c r="AD74" s="10"/>
    </row>
    <row r="75" spans="2:30" ht="12">
      <c r="B75" s="11"/>
      <c r="C75" s="11"/>
      <c r="D75" s="11"/>
      <c r="E75" s="11"/>
      <c r="F75" s="11"/>
      <c r="G75" s="11"/>
      <c r="H75" s="10"/>
      <c r="I75" s="10"/>
      <c r="J75" s="10"/>
      <c r="K75" s="10"/>
      <c r="L75" s="10"/>
      <c r="M75" s="10"/>
      <c r="N75" s="10"/>
      <c r="O75" s="10"/>
      <c r="P75" s="10"/>
      <c r="Q75" s="10"/>
      <c r="R75" s="10"/>
      <c r="S75" s="10"/>
      <c r="T75" s="10"/>
      <c r="U75" s="10"/>
      <c r="V75" s="10"/>
      <c r="W75" s="10"/>
      <c r="X75" s="10"/>
      <c r="Y75" s="10"/>
      <c r="Z75" s="10"/>
      <c r="AA75" s="10"/>
      <c r="AB75" s="10"/>
      <c r="AC75" s="10"/>
      <c r="AD75" s="10"/>
    </row>
    <row r="76" spans="7:30" ht="12">
      <c r="G76" s="10"/>
      <c r="H76" s="10"/>
      <c r="I76" s="10"/>
      <c r="J76" s="10"/>
      <c r="K76" s="10"/>
      <c r="L76" s="10"/>
      <c r="M76" s="10"/>
      <c r="N76" s="10"/>
      <c r="O76" s="10"/>
      <c r="P76" s="10"/>
      <c r="Q76" s="10"/>
      <c r="R76" s="10"/>
      <c r="S76" s="10"/>
      <c r="T76" s="10"/>
      <c r="U76" s="10"/>
      <c r="V76" s="10"/>
      <c r="W76" s="10"/>
      <c r="X76" s="10"/>
      <c r="Y76" s="10"/>
      <c r="Z76" s="10"/>
      <c r="AA76" s="10"/>
      <c r="AB76" s="10"/>
      <c r="AC76" s="10"/>
      <c r="AD76" s="10"/>
    </row>
    <row r="77" spans="7:30" ht="12">
      <c r="G77" s="10"/>
      <c r="H77" s="10"/>
      <c r="I77" s="10"/>
      <c r="J77" s="10"/>
      <c r="K77" s="10"/>
      <c r="L77" s="10"/>
      <c r="M77" s="10"/>
      <c r="N77" s="10"/>
      <c r="O77" s="10"/>
      <c r="P77" s="10"/>
      <c r="Q77" s="10"/>
      <c r="R77" s="10"/>
      <c r="S77" s="10"/>
      <c r="T77" s="10"/>
      <c r="U77" s="10"/>
      <c r="V77" s="10"/>
      <c r="W77" s="10"/>
      <c r="X77" s="10"/>
      <c r="Y77" s="10"/>
      <c r="Z77" s="10"/>
      <c r="AA77" s="10"/>
      <c r="AB77" s="10"/>
      <c r="AC77" s="10"/>
      <c r="AD77" s="10"/>
    </row>
    <row r="78" spans="6:30" ht="12">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row>
    <row r="79" spans="6:30" ht="12">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6:30" ht="12">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row>
    <row r="81" spans="6:30" ht="12">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row>
    <row r="82" spans="6:30" ht="12">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row>
    <row r="83" spans="6:30" ht="12">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row>
    <row r="84" spans="6:30" ht="12">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row>
    <row r="85" spans="6:30" ht="12">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row>
    <row r="86" spans="6:30" ht="12">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row>
    <row r="87" spans="6:30" ht="12">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row>
    <row r="88" spans="6:30" ht="12">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row>
    <row r="89" spans="6:30" ht="12">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row>
    <row r="90" spans="6:30" ht="12">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row>
    <row r="91" spans="6:30" ht="12">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row>
    <row r="92" spans="6:30" ht="12">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row>
    <row r="93" spans="6:30" ht="12">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row>
    <row r="94" spans="6:30" ht="12">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row>
    <row r="95" spans="4:30" ht="12">
      <c r="D95" s="277"/>
      <c r="E95" s="277"/>
      <c r="F95" s="19"/>
      <c r="G95" s="19"/>
      <c r="H95" s="19"/>
      <c r="I95" s="19"/>
      <c r="J95" s="19"/>
      <c r="K95" s="19"/>
      <c r="L95" s="19"/>
      <c r="M95" s="19"/>
      <c r="N95" s="10"/>
      <c r="O95" s="10"/>
      <c r="P95" s="10"/>
      <c r="Q95" s="10"/>
      <c r="R95" s="10"/>
      <c r="S95" s="10"/>
      <c r="T95" s="10"/>
      <c r="U95" s="10"/>
      <c r="V95" s="10"/>
      <c r="W95" s="10"/>
      <c r="X95" s="10"/>
      <c r="Y95" s="10"/>
      <c r="Z95" s="10"/>
      <c r="AA95" s="10"/>
      <c r="AB95" s="10"/>
      <c r="AC95" s="10"/>
      <c r="AD95" s="10"/>
    </row>
    <row r="96" spans="4:30" ht="12.75" thickBot="1">
      <c r="D96" s="277"/>
      <c r="E96" s="277"/>
      <c r="F96" s="19"/>
      <c r="G96" s="19"/>
      <c r="H96" s="19"/>
      <c r="I96" s="19"/>
      <c r="J96" s="19"/>
      <c r="K96" s="19"/>
      <c r="L96" s="19"/>
      <c r="M96" s="19"/>
      <c r="N96" s="279"/>
      <c r="O96" s="279"/>
      <c r="P96" s="10"/>
      <c r="Q96" s="10"/>
      <c r="R96" s="10"/>
      <c r="S96" s="10"/>
      <c r="T96" s="10"/>
      <c r="U96" s="10"/>
      <c r="V96" s="10"/>
      <c r="W96" s="10"/>
      <c r="X96" s="10"/>
      <c r="Y96" s="10"/>
      <c r="Z96" s="10"/>
      <c r="AA96" s="10"/>
      <c r="AB96" s="10"/>
      <c r="AC96" s="10"/>
      <c r="AD96" s="10"/>
    </row>
    <row r="97" spans="4:30" ht="12">
      <c r="D97" s="277"/>
      <c r="E97" s="306"/>
      <c r="F97" s="307"/>
      <c r="G97" s="307"/>
      <c r="H97" s="308"/>
      <c r="I97" s="19"/>
      <c r="J97" s="19"/>
      <c r="K97" s="19"/>
      <c r="L97" s="19"/>
      <c r="M97" s="19"/>
      <c r="N97" s="279"/>
      <c r="O97" s="279"/>
      <c r="P97" s="10"/>
      <c r="Q97" s="10"/>
      <c r="R97" s="10"/>
      <c r="S97" s="10"/>
      <c r="T97" s="10"/>
      <c r="U97" s="10"/>
      <c r="V97" s="10"/>
      <c r="W97" s="10"/>
      <c r="X97" s="10"/>
      <c r="Y97" s="10"/>
      <c r="Z97" s="10"/>
      <c r="AA97" s="10"/>
      <c r="AB97" s="10"/>
      <c r="AC97" s="10"/>
      <c r="AD97" s="10"/>
    </row>
    <row r="98" spans="4:30" ht="12">
      <c r="D98" s="277"/>
      <c r="E98" s="309"/>
      <c r="F98" s="310"/>
      <c r="G98" s="310"/>
      <c r="H98" s="311"/>
      <c r="I98" s="19"/>
      <c r="J98" s="19"/>
      <c r="K98" s="19"/>
      <c r="L98" s="19"/>
      <c r="M98" s="19"/>
      <c r="N98" s="279"/>
      <c r="O98" s="279"/>
      <c r="P98" s="10"/>
      <c r="Q98" s="10"/>
      <c r="R98" s="10"/>
      <c r="S98" s="10"/>
      <c r="T98" s="10"/>
      <c r="U98" s="10"/>
      <c r="V98" s="10"/>
      <c r="W98" s="10"/>
      <c r="X98" s="10"/>
      <c r="Y98" s="10"/>
      <c r="Z98" s="10"/>
      <c r="AA98" s="10"/>
      <c r="AB98" s="10"/>
      <c r="AC98" s="10"/>
      <c r="AD98" s="10"/>
    </row>
    <row r="99" spans="4:30" ht="12">
      <c r="D99" s="277"/>
      <c r="E99" s="309"/>
      <c r="F99" s="310" t="s">
        <v>168</v>
      </c>
      <c r="G99" s="310"/>
      <c r="H99" s="311"/>
      <c r="I99" s="19"/>
      <c r="J99" s="19"/>
      <c r="K99" s="19"/>
      <c r="L99" s="19"/>
      <c r="M99" s="19"/>
      <c r="N99" s="279"/>
      <c r="O99" s="279"/>
      <c r="P99" s="10"/>
      <c r="Q99" s="10"/>
      <c r="R99" s="10"/>
      <c r="S99" s="10"/>
      <c r="T99" s="10"/>
      <c r="U99" s="10"/>
      <c r="V99" s="10"/>
      <c r="W99" s="10"/>
      <c r="X99" s="10"/>
      <c r="Y99" s="10"/>
      <c r="Z99" s="10"/>
      <c r="AA99" s="10"/>
      <c r="AB99" s="10"/>
      <c r="AC99" s="10"/>
      <c r="AD99" s="10"/>
    </row>
    <row r="100" spans="3:30" ht="12">
      <c r="C100" s="20"/>
      <c r="D100" s="277"/>
      <c r="E100" s="309"/>
      <c r="F100" s="310"/>
      <c r="G100" s="310"/>
      <c r="H100" s="311"/>
      <c r="I100" s="19"/>
      <c r="J100" s="19"/>
      <c r="K100" s="19"/>
      <c r="L100" s="19"/>
      <c r="M100" s="19"/>
      <c r="N100" s="279"/>
      <c r="O100" s="279"/>
      <c r="P100" s="10"/>
      <c r="Q100" s="10"/>
      <c r="R100" s="10"/>
      <c r="S100" s="10"/>
      <c r="T100" s="10"/>
      <c r="U100" s="10"/>
      <c r="V100" s="10"/>
      <c r="W100" s="10"/>
      <c r="X100" s="10"/>
      <c r="Y100" s="10"/>
      <c r="Z100" s="10"/>
      <c r="AA100" s="10"/>
      <c r="AB100" s="10"/>
      <c r="AC100" s="10"/>
      <c r="AD100" s="10"/>
    </row>
    <row r="101" spans="3:30" ht="12">
      <c r="C101" s="20">
        <v>1</v>
      </c>
      <c r="D101" s="277"/>
      <c r="E101" s="309"/>
      <c r="F101" s="310"/>
      <c r="G101" s="310"/>
      <c r="H101" s="311"/>
      <c r="I101" s="19"/>
      <c r="J101" s="19"/>
      <c r="K101" s="19"/>
      <c r="L101" s="19"/>
      <c r="M101" s="19"/>
      <c r="N101" s="279"/>
      <c r="O101" s="279"/>
      <c r="P101" s="10"/>
      <c r="Q101" s="10"/>
      <c r="R101" s="10"/>
      <c r="S101" s="10"/>
      <c r="T101" s="10"/>
      <c r="U101" s="10"/>
      <c r="V101" s="10"/>
      <c r="W101" s="10"/>
      <c r="X101" s="10"/>
      <c r="Y101" s="10"/>
      <c r="Z101" s="10"/>
      <c r="AA101" s="10"/>
      <c r="AB101" s="10"/>
      <c r="AC101" s="10"/>
      <c r="AD101" s="10"/>
    </row>
    <row r="102" spans="3:30" ht="12">
      <c r="C102" s="20">
        <f>+C101+1</f>
        <v>2</v>
      </c>
      <c r="D102" s="277"/>
      <c r="E102" s="309"/>
      <c r="F102" s="310"/>
      <c r="G102" s="312" t="s">
        <v>123</v>
      </c>
      <c r="H102" s="313" t="s">
        <v>126</v>
      </c>
      <c r="I102" s="19"/>
      <c r="J102" s="19"/>
      <c r="K102" s="19"/>
      <c r="L102" s="19"/>
      <c r="M102" s="19"/>
      <c r="N102" s="279"/>
      <c r="O102" s="279"/>
      <c r="P102" s="10"/>
      <c r="Q102" s="10"/>
      <c r="R102" s="10"/>
      <c r="S102" s="10"/>
      <c r="T102" s="10"/>
      <c r="U102" s="10"/>
      <c r="V102" s="10"/>
      <c r="W102" s="10"/>
      <c r="X102" s="10"/>
      <c r="Y102" s="10"/>
      <c r="Z102" s="10"/>
      <c r="AA102" s="10"/>
      <c r="AB102" s="10"/>
      <c r="AC102" s="10"/>
      <c r="AD102" s="10"/>
    </row>
    <row r="103" spans="3:30" ht="12">
      <c r="C103" s="20">
        <f aca="true" t="shared" si="19" ref="C103:C120">+C102+1</f>
        <v>3</v>
      </c>
      <c r="D103" s="277"/>
      <c r="E103" s="309"/>
      <c r="F103" s="312" t="s">
        <v>163</v>
      </c>
      <c r="G103" s="312" t="str">
        <f>+ADDRESS(18+$G$105,1)</f>
        <v>$A$32</v>
      </c>
      <c r="H103" s="313" t="str">
        <f>+ADDRESS($G$105+$H$105+20,1)</f>
        <v>$A$38</v>
      </c>
      <c r="I103" s="19"/>
      <c r="J103" s="19"/>
      <c r="K103" s="19"/>
      <c r="L103" s="19"/>
      <c r="M103" s="19"/>
      <c r="N103" s="279"/>
      <c r="O103" s="279"/>
      <c r="P103" s="10"/>
      <c r="Q103" s="10"/>
      <c r="R103" s="10"/>
      <c r="S103" s="10"/>
      <c r="T103" s="10"/>
      <c r="U103" s="10"/>
      <c r="V103" s="10"/>
      <c r="W103" s="10"/>
      <c r="X103" s="10"/>
      <c r="Y103" s="10"/>
      <c r="Z103" s="10"/>
      <c r="AA103" s="10"/>
      <c r="AB103" s="10"/>
      <c r="AC103" s="10"/>
      <c r="AD103" s="10"/>
    </row>
    <row r="104" spans="3:30" ht="12">
      <c r="C104" s="20">
        <f t="shared" si="19"/>
        <v>4</v>
      </c>
      <c r="D104" s="277"/>
      <c r="E104" s="309"/>
      <c r="F104" s="312" t="s">
        <v>124</v>
      </c>
      <c r="G104" s="312" t="str">
        <f>RIGHT($G$103,LEN($G$103)-FIND("$",$G$103,3))</f>
        <v>32</v>
      </c>
      <c r="H104" s="313" t="str">
        <f>RIGHT($H$103,LEN($H$103)-FIND("$",$H$103,3))</f>
        <v>38</v>
      </c>
      <c r="I104" s="19"/>
      <c r="J104" s="19"/>
      <c r="K104" s="19"/>
      <c r="L104" s="19"/>
      <c r="M104" s="19"/>
      <c r="N104" s="279"/>
      <c r="O104" s="279"/>
      <c r="P104" s="10"/>
      <c r="Q104" s="10"/>
      <c r="R104" s="10"/>
      <c r="S104" s="10"/>
      <c r="T104" s="10"/>
      <c r="U104" s="10"/>
      <c r="V104" s="10"/>
      <c r="W104" s="10"/>
      <c r="X104" s="10"/>
      <c r="Y104" s="10"/>
      <c r="Z104" s="10"/>
      <c r="AA104" s="10"/>
      <c r="AB104" s="10"/>
      <c r="AC104" s="10"/>
      <c r="AD104" s="10"/>
    </row>
    <row r="105" spans="3:30" ht="12">
      <c r="C105" s="20">
        <f t="shared" si="19"/>
        <v>5</v>
      </c>
      <c r="D105" s="277"/>
      <c r="E105" s="309"/>
      <c r="F105" s="312" t="s">
        <v>125</v>
      </c>
      <c r="G105" s="314">
        <f>+COUNT(G19:G32)</f>
        <v>14</v>
      </c>
      <c r="H105" s="315">
        <f>+COUNT(G35:G38)</f>
        <v>4</v>
      </c>
      <c r="I105" s="19"/>
      <c r="J105" s="19"/>
      <c r="K105" s="19"/>
      <c r="L105" s="19"/>
      <c r="M105" s="19"/>
      <c r="N105" s="279"/>
      <c r="O105" s="279"/>
      <c r="P105" s="10"/>
      <c r="Q105" s="10"/>
      <c r="R105" s="10"/>
      <c r="S105" s="10"/>
      <c r="T105" s="10"/>
      <c r="U105" s="10"/>
      <c r="V105" s="10"/>
      <c r="W105" s="10"/>
      <c r="X105" s="10"/>
      <c r="Y105" s="10"/>
      <c r="Z105" s="10"/>
      <c r="AA105" s="10"/>
      <c r="AB105" s="10"/>
      <c r="AC105" s="10"/>
      <c r="AD105" s="10"/>
    </row>
    <row r="106" spans="3:30" ht="12">
      <c r="C106" s="20">
        <f t="shared" si="19"/>
        <v>6</v>
      </c>
      <c r="D106" s="277"/>
      <c r="E106" s="309"/>
      <c r="F106" s="310"/>
      <c r="G106" s="310"/>
      <c r="H106" s="311"/>
      <c r="I106" s="19"/>
      <c r="J106" s="19"/>
      <c r="K106" s="19"/>
      <c r="L106" s="19"/>
      <c r="M106" s="19"/>
      <c r="N106" s="279"/>
      <c r="O106" s="279"/>
      <c r="P106" s="10"/>
      <c r="Q106" s="10"/>
      <c r="R106" s="10"/>
      <c r="S106" s="10"/>
      <c r="T106" s="10"/>
      <c r="U106" s="10"/>
      <c r="V106" s="10"/>
      <c r="W106" s="10"/>
      <c r="X106" s="10"/>
      <c r="Y106" s="10"/>
      <c r="Z106" s="10"/>
      <c r="AA106" s="10"/>
      <c r="AB106" s="10"/>
      <c r="AC106" s="10"/>
      <c r="AD106" s="10"/>
    </row>
    <row r="107" spans="3:30" ht="12">
      <c r="C107" s="20">
        <f t="shared" si="19"/>
        <v>7</v>
      </c>
      <c r="D107" s="277"/>
      <c r="E107" s="309"/>
      <c r="F107" s="310"/>
      <c r="G107" s="310"/>
      <c r="H107" s="311"/>
      <c r="I107" s="19"/>
      <c r="J107" s="19"/>
      <c r="K107" s="19"/>
      <c r="L107" s="19"/>
      <c r="M107" s="19"/>
      <c r="N107" s="279"/>
      <c r="O107" s="279"/>
      <c r="P107" s="10"/>
      <c r="Q107" s="10"/>
      <c r="R107" s="10"/>
      <c r="S107" s="10"/>
      <c r="T107" s="10"/>
      <c r="U107" s="10"/>
      <c r="V107" s="10"/>
      <c r="W107" s="10"/>
      <c r="X107" s="10"/>
      <c r="Y107" s="10"/>
      <c r="Z107" s="10"/>
      <c r="AA107" s="10"/>
      <c r="AB107" s="10"/>
      <c r="AC107" s="10"/>
      <c r="AD107" s="10"/>
    </row>
    <row r="108" spans="3:30" ht="12">
      <c r="C108" s="20">
        <f t="shared" si="19"/>
        <v>8</v>
      </c>
      <c r="D108" s="277"/>
      <c r="E108" s="309"/>
      <c r="F108" s="310" t="s">
        <v>104</v>
      </c>
      <c r="G108" s="310"/>
      <c r="H108" s="311"/>
      <c r="I108" s="19"/>
      <c r="J108" s="19"/>
      <c r="K108" s="19"/>
      <c r="L108" s="19"/>
      <c r="M108" s="19"/>
      <c r="N108" s="279"/>
      <c r="O108" s="279"/>
      <c r="P108" s="10"/>
      <c r="Q108" s="10"/>
      <c r="R108" s="10"/>
      <c r="S108" s="10"/>
      <c r="T108" s="10"/>
      <c r="U108" s="10"/>
      <c r="V108" s="10"/>
      <c r="W108" s="10"/>
      <c r="X108" s="10"/>
      <c r="Y108" s="10"/>
      <c r="Z108" s="10"/>
      <c r="AA108" s="10"/>
      <c r="AB108" s="10"/>
      <c r="AC108" s="10"/>
      <c r="AD108" s="10"/>
    </row>
    <row r="109" spans="3:30" ht="12">
      <c r="C109" s="20">
        <f t="shared" si="19"/>
        <v>9</v>
      </c>
      <c r="D109" s="277"/>
      <c r="E109" s="309"/>
      <c r="F109" s="310" t="s">
        <v>166</v>
      </c>
      <c r="G109" s="310"/>
      <c r="H109" s="311"/>
      <c r="I109" s="19"/>
      <c r="J109" s="19"/>
      <c r="K109" s="19"/>
      <c r="L109" s="19"/>
      <c r="M109" s="19"/>
      <c r="N109" s="279"/>
      <c r="O109" s="279"/>
      <c r="P109" s="10"/>
      <c r="Q109" s="10"/>
      <c r="R109" s="10"/>
      <c r="S109" s="10"/>
      <c r="T109" s="10"/>
      <c r="U109" s="10"/>
      <c r="V109" s="10"/>
      <c r="W109" s="10"/>
      <c r="X109" s="10"/>
      <c r="Y109" s="10"/>
      <c r="Z109" s="10"/>
      <c r="AA109" s="10"/>
      <c r="AB109" s="10"/>
      <c r="AC109" s="10"/>
      <c r="AD109" s="10"/>
    </row>
    <row r="110" spans="3:30" ht="12.75" thickBot="1">
      <c r="C110" s="20">
        <f t="shared" si="19"/>
        <v>10</v>
      </c>
      <c r="D110" s="277"/>
      <c r="E110" s="316"/>
      <c r="F110" s="317"/>
      <c r="G110" s="317"/>
      <c r="H110" s="318"/>
      <c r="I110" s="19"/>
      <c r="J110" s="19"/>
      <c r="K110" s="19"/>
      <c r="L110" s="19"/>
      <c r="M110" s="19"/>
      <c r="N110" s="279"/>
      <c r="O110" s="279"/>
      <c r="P110" s="10"/>
      <c r="Q110" s="10"/>
      <c r="R110" s="10"/>
      <c r="S110" s="10"/>
      <c r="T110" s="10"/>
      <c r="U110" s="10"/>
      <c r="V110" s="10"/>
      <c r="W110" s="10"/>
      <c r="X110" s="10"/>
      <c r="Y110" s="10"/>
      <c r="Z110" s="10"/>
      <c r="AA110" s="10"/>
      <c r="AB110" s="10"/>
      <c r="AC110" s="10"/>
      <c r="AD110" s="10"/>
    </row>
    <row r="111" spans="3:30" ht="12">
      <c r="C111" s="20">
        <f t="shared" si="19"/>
        <v>11</v>
      </c>
      <c r="D111" s="277"/>
      <c r="E111" s="277"/>
      <c r="F111" s="19"/>
      <c r="G111" s="19"/>
      <c r="H111" s="19"/>
      <c r="I111" s="19"/>
      <c r="J111" s="19"/>
      <c r="K111" s="19"/>
      <c r="L111" s="19"/>
      <c r="M111" s="19"/>
      <c r="N111" s="279"/>
      <c r="O111" s="279"/>
      <c r="P111" s="10"/>
      <c r="Q111" s="10"/>
      <c r="R111" s="10"/>
      <c r="S111" s="10"/>
      <c r="T111" s="10"/>
      <c r="U111" s="10"/>
      <c r="V111" s="10"/>
      <c r="W111" s="10"/>
      <c r="X111" s="10"/>
      <c r="Y111" s="10"/>
      <c r="Z111" s="10"/>
      <c r="AA111" s="10"/>
      <c r="AB111" s="10"/>
      <c r="AC111" s="10"/>
      <c r="AD111" s="10"/>
    </row>
    <row r="112" spans="3:30" ht="12">
      <c r="C112" s="20">
        <f t="shared" si="19"/>
        <v>12</v>
      </c>
      <c r="D112" s="277"/>
      <c r="E112" s="277"/>
      <c r="F112" s="19"/>
      <c r="G112" s="19"/>
      <c r="H112" s="19"/>
      <c r="I112" s="19"/>
      <c r="J112" s="19"/>
      <c r="K112" s="19"/>
      <c r="L112" s="19"/>
      <c r="M112" s="19"/>
      <c r="N112" s="279"/>
      <c r="O112" s="279"/>
      <c r="P112" s="10"/>
      <c r="Q112" s="10"/>
      <c r="R112" s="10"/>
      <c r="S112" s="10"/>
      <c r="T112" s="10"/>
      <c r="U112" s="10"/>
      <c r="V112" s="10"/>
      <c r="W112" s="10"/>
      <c r="X112" s="10"/>
      <c r="Y112" s="10"/>
      <c r="Z112" s="10"/>
      <c r="AA112" s="10"/>
      <c r="AB112" s="10"/>
      <c r="AC112" s="10"/>
      <c r="AD112" s="10"/>
    </row>
    <row r="113" spans="3:30" ht="12">
      <c r="C113" s="20">
        <f t="shared" si="19"/>
        <v>13</v>
      </c>
      <c r="D113" s="277"/>
      <c r="E113" s="277"/>
      <c r="F113" s="19"/>
      <c r="G113" s="19"/>
      <c r="H113" s="19"/>
      <c r="I113" s="19"/>
      <c r="J113" s="19"/>
      <c r="K113" s="19"/>
      <c r="L113" s="19"/>
      <c r="M113" s="19"/>
      <c r="N113" s="279"/>
      <c r="O113" s="279"/>
      <c r="P113" s="10"/>
      <c r="Q113" s="10"/>
      <c r="R113" s="10"/>
      <c r="S113" s="10"/>
      <c r="T113" s="10"/>
      <c r="U113" s="10"/>
      <c r="V113" s="10"/>
      <c r="W113" s="10"/>
      <c r="X113" s="10"/>
      <c r="Y113" s="10"/>
      <c r="Z113" s="10"/>
      <c r="AA113" s="10"/>
      <c r="AB113" s="10"/>
      <c r="AC113" s="10"/>
      <c r="AD113" s="10"/>
    </row>
    <row r="114" spans="3:30" ht="12">
      <c r="C114" s="20">
        <f t="shared" si="19"/>
        <v>14</v>
      </c>
      <c r="D114" s="277"/>
      <c r="E114" s="277"/>
      <c r="F114" s="19"/>
      <c r="G114" s="19"/>
      <c r="H114" s="19"/>
      <c r="I114" s="19"/>
      <c r="J114" s="19"/>
      <c r="K114" s="19"/>
      <c r="L114" s="19"/>
      <c r="M114" s="19"/>
      <c r="N114" s="279"/>
      <c r="O114" s="279"/>
      <c r="P114" s="10"/>
      <c r="Q114" s="10"/>
      <c r="R114" s="10"/>
      <c r="S114" s="10"/>
      <c r="T114" s="10"/>
      <c r="U114" s="10"/>
      <c r="V114" s="10"/>
      <c r="W114" s="10"/>
      <c r="X114" s="10"/>
      <c r="Y114" s="10"/>
      <c r="Z114" s="10"/>
      <c r="AA114" s="10"/>
      <c r="AB114" s="10"/>
      <c r="AC114" s="10"/>
      <c r="AD114" s="10"/>
    </row>
    <row r="115" spans="3:30" ht="12">
      <c r="C115" s="20">
        <f t="shared" si="19"/>
        <v>15</v>
      </c>
      <c r="D115" s="277"/>
      <c r="E115" s="277"/>
      <c r="F115" s="19"/>
      <c r="G115" s="19"/>
      <c r="H115" s="19"/>
      <c r="I115" s="19"/>
      <c r="J115" s="19"/>
      <c r="K115" s="19"/>
      <c r="L115" s="19"/>
      <c r="M115" s="19"/>
      <c r="N115" s="279"/>
      <c r="O115" s="279"/>
      <c r="P115" s="10"/>
      <c r="Q115" s="10"/>
      <c r="R115" s="10"/>
      <c r="S115" s="10"/>
      <c r="T115" s="10"/>
      <c r="U115" s="10"/>
      <c r="V115" s="10"/>
      <c r="W115" s="10"/>
      <c r="X115" s="10"/>
      <c r="Y115" s="10"/>
      <c r="Z115" s="10"/>
      <c r="AA115" s="10"/>
      <c r="AB115" s="10"/>
      <c r="AC115" s="10"/>
      <c r="AD115" s="10"/>
    </row>
    <row r="116" spans="3:30" ht="12">
      <c r="C116" s="20">
        <f t="shared" si="19"/>
        <v>16</v>
      </c>
      <c r="D116" s="277"/>
      <c r="E116" s="277"/>
      <c r="F116" s="19"/>
      <c r="G116" s="19"/>
      <c r="H116" s="19"/>
      <c r="I116" s="19"/>
      <c r="J116" s="19"/>
      <c r="K116" s="19"/>
      <c r="L116" s="19"/>
      <c r="M116" s="19"/>
      <c r="N116" s="279"/>
      <c r="O116" s="279"/>
      <c r="P116" s="10"/>
      <c r="Q116" s="10"/>
      <c r="R116" s="10"/>
      <c r="S116" s="10"/>
      <c r="T116" s="10"/>
      <c r="U116" s="10"/>
      <c r="V116" s="10"/>
      <c r="W116" s="10"/>
      <c r="X116" s="10"/>
      <c r="Y116" s="10"/>
      <c r="Z116" s="10"/>
      <c r="AA116" s="10"/>
      <c r="AB116" s="10"/>
      <c r="AC116" s="10"/>
      <c r="AD116" s="10"/>
    </row>
    <row r="117" spans="3:30" ht="12">
      <c r="C117" s="20">
        <f t="shared" si="19"/>
        <v>17</v>
      </c>
      <c r="D117" s="277"/>
      <c r="E117" s="277"/>
      <c r="F117" s="19"/>
      <c r="G117" s="19"/>
      <c r="H117" s="19"/>
      <c r="I117" s="19"/>
      <c r="J117" s="19"/>
      <c r="K117" s="19"/>
      <c r="L117" s="19"/>
      <c r="M117" s="19"/>
      <c r="N117" s="279"/>
      <c r="O117" s="279"/>
      <c r="P117" s="10"/>
      <c r="Q117" s="10"/>
      <c r="R117" s="10"/>
      <c r="S117" s="10"/>
      <c r="T117" s="10"/>
      <c r="U117" s="10"/>
      <c r="V117" s="10"/>
      <c r="W117" s="10"/>
      <c r="X117" s="10"/>
      <c r="Y117" s="10"/>
      <c r="Z117" s="10"/>
      <c r="AA117" s="10"/>
      <c r="AB117" s="10"/>
      <c r="AC117" s="10"/>
      <c r="AD117" s="10"/>
    </row>
    <row r="118" spans="3:30" ht="12">
      <c r="C118" s="20">
        <f t="shared" si="19"/>
        <v>18</v>
      </c>
      <c r="D118" s="277"/>
      <c r="E118" s="277"/>
      <c r="F118" s="19"/>
      <c r="G118" s="19"/>
      <c r="H118" s="19"/>
      <c r="I118" s="19"/>
      <c r="J118" s="19"/>
      <c r="K118" s="19"/>
      <c r="L118" s="19"/>
      <c r="M118" s="19"/>
      <c r="N118" s="279"/>
      <c r="O118" s="279"/>
      <c r="P118" s="10"/>
      <c r="Q118" s="10"/>
      <c r="R118" s="10"/>
      <c r="S118" s="10"/>
      <c r="T118" s="10"/>
      <c r="U118" s="10"/>
      <c r="V118" s="10"/>
      <c r="W118" s="10"/>
      <c r="X118" s="10"/>
      <c r="Y118" s="10"/>
      <c r="Z118" s="10"/>
      <c r="AA118" s="10"/>
      <c r="AB118" s="10"/>
      <c r="AC118" s="10"/>
      <c r="AD118" s="10"/>
    </row>
    <row r="119" spans="3:30" ht="12">
      <c r="C119" s="20">
        <f t="shared" si="19"/>
        <v>19</v>
      </c>
      <c r="D119" s="277"/>
      <c r="E119" s="277"/>
      <c r="F119" s="19"/>
      <c r="G119" s="19"/>
      <c r="H119" s="19"/>
      <c r="I119" s="19"/>
      <c r="J119" s="19"/>
      <c r="K119" s="19"/>
      <c r="L119" s="19"/>
      <c r="M119" s="19"/>
      <c r="N119" s="279"/>
      <c r="O119" s="279"/>
      <c r="P119" s="10"/>
      <c r="Q119" s="10"/>
      <c r="R119" s="10"/>
      <c r="S119" s="10"/>
      <c r="T119" s="10"/>
      <c r="U119" s="10"/>
      <c r="V119" s="10"/>
      <c r="W119" s="10"/>
      <c r="X119" s="10"/>
      <c r="Y119" s="10"/>
      <c r="Z119" s="10"/>
      <c r="AA119" s="10"/>
      <c r="AB119" s="10"/>
      <c r="AC119" s="10"/>
      <c r="AD119" s="10"/>
    </row>
    <row r="120" spans="3:30" ht="12">
      <c r="C120" s="20">
        <f t="shared" si="19"/>
        <v>20</v>
      </c>
      <c r="D120" s="277"/>
      <c r="E120" s="277"/>
      <c r="F120" s="19"/>
      <c r="G120" s="19"/>
      <c r="H120" s="19"/>
      <c r="I120" s="19"/>
      <c r="J120" s="19"/>
      <c r="K120" s="19"/>
      <c r="L120" s="19"/>
      <c r="M120" s="19"/>
      <c r="N120" s="279"/>
      <c r="O120" s="279"/>
      <c r="P120" s="10"/>
      <c r="Q120" s="10"/>
      <c r="R120" s="10"/>
      <c r="S120" s="10"/>
      <c r="T120" s="10"/>
      <c r="U120" s="10"/>
      <c r="V120" s="10"/>
      <c r="W120" s="10"/>
      <c r="X120" s="10"/>
      <c r="Y120" s="10"/>
      <c r="Z120" s="10"/>
      <c r="AA120" s="10"/>
      <c r="AB120" s="10"/>
      <c r="AC120" s="10"/>
      <c r="AD120" s="10"/>
    </row>
    <row r="121" spans="4:30" ht="12">
      <c r="D121" s="277"/>
      <c r="E121" s="277"/>
      <c r="F121" s="19"/>
      <c r="G121" s="19"/>
      <c r="H121" s="19"/>
      <c r="I121" s="19"/>
      <c r="J121" s="19"/>
      <c r="K121" s="19"/>
      <c r="L121" s="19"/>
      <c r="M121" s="19"/>
      <c r="N121" s="279"/>
      <c r="O121" s="279"/>
      <c r="P121" s="10"/>
      <c r="Q121" s="10"/>
      <c r="R121" s="10"/>
      <c r="S121" s="10"/>
      <c r="T121" s="10"/>
      <c r="U121" s="10"/>
      <c r="V121" s="10"/>
      <c r="W121" s="10"/>
      <c r="X121" s="10"/>
      <c r="Y121" s="10"/>
      <c r="Z121" s="10"/>
      <c r="AA121" s="10"/>
      <c r="AB121" s="10"/>
      <c r="AC121" s="10"/>
      <c r="AD121" s="10"/>
    </row>
    <row r="122" spans="4:30" ht="12">
      <c r="D122" s="277"/>
      <c r="E122" s="277"/>
      <c r="F122" s="19"/>
      <c r="G122" s="19"/>
      <c r="H122" s="19"/>
      <c r="I122" s="19"/>
      <c r="J122" s="19"/>
      <c r="K122" s="19"/>
      <c r="L122" s="19"/>
      <c r="M122" s="19"/>
      <c r="N122" s="279"/>
      <c r="O122" s="279"/>
      <c r="P122" s="10"/>
      <c r="Q122" s="10"/>
      <c r="R122" s="10"/>
      <c r="S122" s="10"/>
      <c r="T122" s="10"/>
      <c r="U122" s="10"/>
      <c r="V122" s="10"/>
      <c r="W122" s="10"/>
      <c r="X122" s="10"/>
      <c r="Y122" s="10"/>
      <c r="Z122" s="10"/>
      <c r="AA122" s="10"/>
      <c r="AB122" s="10"/>
      <c r="AC122" s="10"/>
      <c r="AD122" s="10"/>
    </row>
    <row r="123" spans="4:30" ht="12">
      <c r="D123" s="277"/>
      <c r="E123" s="277"/>
      <c r="F123" s="19"/>
      <c r="G123" s="19"/>
      <c r="H123" s="19"/>
      <c r="I123" s="19"/>
      <c r="J123" s="19"/>
      <c r="K123" s="19"/>
      <c r="L123" s="19"/>
      <c r="M123" s="19"/>
      <c r="N123" s="279"/>
      <c r="O123" s="279"/>
      <c r="P123" s="10"/>
      <c r="Q123" s="10"/>
      <c r="R123" s="10"/>
      <c r="S123" s="10"/>
      <c r="T123" s="10"/>
      <c r="U123" s="10"/>
      <c r="V123" s="10"/>
      <c r="W123" s="10"/>
      <c r="X123" s="10"/>
      <c r="Y123" s="10"/>
      <c r="Z123" s="10"/>
      <c r="AA123" s="10"/>
      <c r="AB123" s="10"/>
      <c r="AC123" s="10"/>
      <c r="AD123" s="10"/>
    </row>
    <row r="124" spans="4:30" ht="12">
      <c r="D124" s="277"/>
      <c r="E124" s="277"/>
      <c r="F124" s="19"/>
      <c r="G124" s="19"/>
      <c r="H124" s="19"/>
      <c r="I124" s="19"/>
      <c r="J124" s="19"/>
      <c r="K124" s="19"/>
      <c r="L124" s="19"/>
      <c r="M124" s="19"/>
      <c r="N124" s="279"/>
      <c r="O124" s="279"/>
      <c r="P124" s="10"/>
      <c r="Q124" s="10"/>
      <c r="R124" s="10"/>
      <c r="S124" s="10"/>
      <c r="T124" s="10"/>
      <c r="U124" s="10"/>
      <c r="V124" s="10"/>
      <c r="W124" s="10"/>
      <c r="X124" s="10"/>
      <c r="Y124" s="10"/>
      <c r="Z124" s="10"/>
      <c r="AA124" s="10"/>
      <c r="AB124" s="10"/>
      <c r="AC124" s="10"/>
      <c r="AD124" s="10"/>
    </row>
    <row r="125" spans="4:30" ht="12">
      <c r="D125" s="277"/>
      <c r="E125" s="277"/>
      <c r="F125" s="19"/>
      <c r="G125" s="19"/>
      <c r="H125" s="19"/>
      <c r="I125" s="19"/>
      <c r="J125" s="19"/>
      <c r="K125" s="19"/>
      <c r="L125" s="19"/>
      <c r="M125" s="19"/>
      <c r="N125" s="279"/>
      <c r="O125" s="279"/>
      <c r="P125" s="10"/>
      <c r="Q125" s="10"/>
      <c r="R125" s="10"/>
      <c r="S125" s="10"/>
      <c r="T125" s="10"/>
      <c r="U125" s="10"/>
      <c r="V125" s="10"/>
      <c r="W125" s="10"/>
      <c r="X125" s="10"/>
      <c r="Y125" s="10"/>
      <c r="Z125" s="10"/>
      <c r="AA125" s="10"/>
      <c r="AB125" s="10"/>
      <c r="AC125" s="10"/>
      <c r="AD125" s="10"/>
    </row>
    <row r="126" spans="4:30" ht="12">
      <c r="D126" s="277"/>
      <c r="E126" s="277"/>
      <c r="F126" s="19"/>
      <c r="G126" s="19"/>
      <c r="H126" s="19"/>
      <c r="I126" s="19"/>
      <c r="J126" s="19"/>
      <c r="K126" s="19"/>
      <c r="L126" s="19"/>
      <c r="M126" s="19"/>
      <c r="N126" s="279"/>
      <c r="O126" s="279"/>
      <c r="P126" s="10"/>
      <c r="Q126" s="10"/>
      <c r="R126" s="10"/>
      <c r="S126" s="10"/>
      <c r="T126" s="10"/>
      <c r="U126" s="10"/>
      <c r="V126" s="10"/>
      <c r="W126" s="10"/>
      <c r="X126" s="10"/>
      <c r="Y126" s="10"/>
      <c r="Z126" s="10"/>
      <c r="AA126" s="10"/>
      <c r="AB126" s="10"/>
      <c r="AC126" s="10"/>
      <c r="AD126" s="10"/>
    </row>
    <row r="127" spans="4:30" ht="12">
      <c r="D127" s="277"/>
      <c r="E127" s="277"/>
      <c r="F127" s="19"/>
      <c r="G127" s="19"/>
      <c r="H127" s="19"/>
      <c r="I127" s="19"/>
      <c r="J127" s="19"/>
      <c r="K127" s="19"/>
      <c r="L127" s="19"/>
      <c r="M127" s="19"/>
      <c r="N127" s="279"/>
      <c r="O127" s="279"/>
      <c r="P127" s="10"/>
      <c r="Q127" s="10"/>
      <c r="R127" s="10"/>
      <c r="S127" s="10"/>
      <c r="T127" s="10"/>
      <c r="U127" s="10"/>
      <c r="V127" s="10"/>
      <c r="W127" s="10"/>
      <c r="X127" s="10"/>
      <c r="Y127" s="10"/>
      <c r="Z127" s="10"/>
      <c r="AA127" s="10"/>
      <c r="AB127" s="10"/>
      <c r="AC127" s="10"/>
      <c r="AD127" s="10"/>
    </row>
    <row r="128" spans="4:30" ht="12">
      <c r="D128" s="277"/>
      <c r="E128" s="277"/>
      <c r="F128" s="19"/>
      <c r="G128" s="19"/>
      <c r="H128" s="19"/>
      <c r="I128" s="19"/>
      <c r="J128" s="19"/>
      <c r="K128" s="19"/>
      <c r="L128" s="19"/>
      <c r="M128" s="19"/>
      <c r="N128" s="279"/>
      <c r="O128" s="279"/>
      <c r="P128" s="10"/>
      <c r="Q128" s="10"/>
      <c r="R128" s="10"/>
      <c r="S128" s="10"/>
      <c r="T128" s="10"/>
      <c r="U128" s="10"/>
      <c r="V128" s="10"/>
      <c r="W128" s="10"/>
      <c r="X128" s="10"/>
      <c r="Y128" s="10"/>
      <c r="Z128" s="10"/>
      <c r="AA128" s="10"/>
      <c r="AB128" s="10"/>
      <c r="AC128" s="10"/>
      <c r="AD128" s="10"/>
    </row>
    <row r="129" spans="4:30" ht="12">
      <c r="D129" s="277"/>
      <c r="E129" s="277"/>
      <c r="F129" s="19"/>
      <c r="G129" s="19"/>
      <c r="H129" s="19"/>
      <c r="I129" s="19"/>
      <c r="J129" s="19"/>
      <c r="K129" s="19"/>
      <c r="L129" s="19"/>
      <c r="M129" s="19"/>
      <c r="N129" s="279"/>
      <c r="O129" s="279"/>
      <c r="P129" s="10"/>
      <c r="Q129" s="10"/>
      <c r="R129" s="10"/>
      <c r="S129" s="10"/>
      <c r="T129" s="10"/>
      <c r="U129" s="10"/>
      <c r="V129" s="10"/>
      <c r="W129" s="10"/>
      <c r="X129" s="10"/>
      <c r="Y129" s="10"/>
      <c r="Z129" s="10"/>
      <c r="AA129" s="10"/>
      <c r="AB129" s="10"/>
      <c r="AC129" s="10"/>
      <c r="AD129" s="10"/>
    </row>
    <row r="130" spans="4:30" ht="12">
      <c r="D130" s="277"/>
      <c r="E130" s="277"/>
      <c r="F130" s="19"/>
      <c r="G130" s="19"/>
      <c r="H130" s="19"/>
      <c r="I130" s="19"/>
      <c r="J130" s="19"/>
      <c r="K130" s="19"/>
      <c r="L130" s="19"/>
      <c r="M130" s="19"/>
      <c r="N130" s="10"/>
      <c r="O130" s="10"/>
      <c r="P130" s="10"/>
      <c r="Q130" s="10"/>
      <c r="R130" s="10"/>
      <c r="S130" s="10"/>
      <c r="T130" s="10"/>
      <c r="U130" s="10"/>
      <c r="V130" s="10"/>
      <c r="W130" s="10"/>
      <c r="X130" s="10"/>
      <c r="Y130" s="10"/>
      <c r="Z130" s="10"/>
      <c r="AA130" s="10"/>
      <c r="AB130" s="10"/>
      <c r="AC130" s="10"/>
      <c r="AD130" s="10"/>
    </row>
    <row r="131" spans="4:30" ht="12">
      <c r="D131" s="277"/>
      <c r="E131" s="277"/>
      <c r="F131" s="19"/>
      <c r="G131" s="19"/>
      <c r="H131" s="19"/>
      <c r="I131" s="19"/>
      <c r="J131" s="19"/>
      <c r="K131" s="19"/>
      <c r="L131" s="19"/>
      <c r="M131" s="19"/>
      <c r="N131" s="10"/>
      <c r="O131" s="10"/>
      <c r="P131" s="10"/>
      <c r="Q131" s="10"/>
      <c r="R131" s="10"/>
      <c r="S131" s="10"/>
      <c r="T131" s="10"/>
      <c r="U131" s="10"/>
      <c r="V131" s="10"/>
      <c r="W131" s="10"/>
      <c r="X131" s="10"/>
      <c r="Y131" s="10"/>
      <c r="Z131" s="10"/>
      <c r="AA131" s="10"/>
      <c r="AB131" s="10"/>
      <c r="AC131" s="10"/>
      <c r="AD131" s="10"/>
    </row>
    <row r="132" spans="4:30" ht="12">
      <c r="D132" s="277"/>
      <c r="E132" s="277"/>
      <c r="F132" s="19"/>
      <c r="G132" s="19"/>
      <c r="H132" s="19"/>
      <c r="I132" s="19"/>
      <c r="J132" s="19"/>
      <c r="K132" s="19"/>
      <c r="L132" s="19"/>
      <c r="M132" s="19"/>
      <c r="N132" s="10"/>
      <c r="O132" s="10"/>
      <c r="P132" s="10"/>
      <c r="Q132" s="10"/>
      <c r="R132" s="10"/>
      <c r="S132" s="10"/>
      <c r="T132" s="10"/>
      <c r="U132" s="10"/>
      <c r="V132" s="10"/>
      <c r="W132" s="10"/>
      <c r="X132" s="10"/>
      <c r="Y132" s="10"/>
      <c r="Z132" s="10"/>
      <c r="AA132" s="10"/>
      <c r="AB132" s="10"/>
      <c r="AC132" s="10"/>
      <c r="AD132" s="10"/>
    </row>
    <row r="133" spans="4:30" ht="12">
      <c r="D133" s="277"/>
      <c r="E133" s="277"/>
      <c r="F133" s="19"/>
      <c r="G133" s="19"/>
      <c r="H133" s="19"/>
      <c r="I133" s="19"/>
      <c r="J133" s="19"/>
      <c r="K133" s="19"/>
      <c r="L133" s="19"/>
      <c r="M133" s="19"/>
      <c r="N133" s="10"/>
      <c r="O133" s="10"/>
      <c r="P133" s="10"/>
      <c r="Q133" s="10"/>
      <c r="R133" s="10"/>
      <c r="S133" s="10"/>
      <c r="T133" s="10"/>
      <c r="U133" s="10"/>
      <c r="V133" s="10"/>
      <c r="W133" s="10"/>
      <c r="X133" s="10"/>
      <c r="Y133" s="10"/>
      <c r="Z133" s="10"/>
      <c r="AA133" s="10"/>
      <c r="AB133" s="10"/>
      <c r="AC133" s="10"/>
      <c r="AD133" s="10"/>
    </row>
    <row r="134" spans="6:30" ht="12">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row>
    <row r="135" spans="6:30" ht="12">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row>
    <row r="136" spans="6:30" ht="12">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row>
    <row r="137" spans="6:30" ht="12">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row>
    <row r="138" spans="6:30" ht="12">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row>
    <row r="139" spans="6:30" ht="12">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row>
    <row r="140" spans="6:30" ht="12">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row>
    <row r="141" spans="6:30" ht="12">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6:30" ht="12">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row>
    <row r="143" spans="6:30" ht="12">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row r="144" spans="6:30" ht="12">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row>
    <row r="145" spans="6:30" ht="12">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6:30" ht="12">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row>
    <row r="147" spans="6:30" ht="12">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row>
    <row r="148" spans="6:30" ht="12">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row>
    <row r="149" spans="6:30" ht="12">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row>
    <row r="150" spans="6:30" ht="12">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row>
    <row r="151" spans="6:30" ht="12">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row>
    <row r="152" spans="6:30" ht="12">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row>
    <row r="153" spans="6:30" ht="12">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row>
    <row r="154" spans="6:30" ht="12">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row>
    <row r="155" spans="6:30" ht="12">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row>
    <row r="156" spans="6:30" ht="12">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row>
    <row r="157" spans="6:30" ht="12">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row>
    <row r="158" spans="6:30" ht="12">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row>
    <row r="159" spans="6:30" ht="12">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row>
    <row r="160" spans="6:30" ht="12">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row>
    <row r="161" spans="6:30" ht="12">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row>
    <row r="162" spans="6:30" ht="12">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row>
    <row r="163" spans="6:30" ht="12">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row>
    <row r="164" spans="6:30" ht="12">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row>
    <row r="165" spans="6:30" ht="12">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row>
    <row r="166" spans="6:30" ht="12">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row>
    <row r="167" spans="6:30" ht="12">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row>
    <row r="168" spans="6:30" ht="12">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row>
    <row r="169" spans="6:30" ht="12">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row>
    <row r="170" spans="6:30" ht="12">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row>
    <row r="171" spans="6:30" ht="12">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row>
    <row r="172" spans="6:30" ht="12">
      <c r="F172" s="10"/>
      <c r="AB172" s="10"/>
      <c r="AC172" s="10"/>
      <c r="AD172" s="10"/>
    </row>
    <row r="173" spans="6:30" ht="12">
      <c r="F173" s="10"/>
      <c r="AB173" s="10"/>
      <c r="AC173" s="10"/>
      <c r="AD173" s="10"/>
    </row>
    <row r="174" spans="6:30" ht="12">
      <c r="F174" s="10"/>
      <c r="AB174" s="10"/>
      <c r="AC174" s="10"/>
      <c r="AD174" s="10"/>
    </row>
    <row r="175" spans="6:30" ht="12">
      <c r="F175" s="10"/>
      <c r="AB175" s="10"/>
      <c r="AC175" s="10"/>
      <c r="AD175" s="10"/>
    </row>
    <row r="176" spans="6:30" ht="12">
      <c r="F176" s="10"/>
      <c r="AB176" s="10"/>
      <c r="AC176" s="10"/>
      <c r="AD176" s="10"/>
    </row>
  </sheetData>
  <sheetProtection/>
  <mergeCells count="33">
    <mergeCell ref="O4:Z4"/>
    <mergeCell ref="C17:E17"/>
    <mergeCell ref="C9:E9"/>
    <mergeCell ref="C10:E10"/>
    <mergeCell ref="C11:E11"/>
    <mergeCell ref="F17:F18"/>
    <mergeCell ref="O11:X11"/>
    <mergeCell ref="C8:E8"/>
    <mergeCell ref="O12:X12"/>
    <mergeCell ref="AC17:AC18"/>
    <mergeCell ref="AC45:AC46"/>
    <mergeCell ref="AB45:AB46"/>
    <mergeCell ref="G45:Z45"/>
    <mergeCell ref="AB17:AB18"/>
    <mergeCell ref="G33:Z33"/>
    <mergeCell ref="B50:F50"/>
    <mergeCell ref="B51:F51"/>
    <mergeCell ref="Y6:Y7"/>
    <mergeCell ref="O8:X8"/>
    <mergeCell ref="B48:F48"/>
    <mergeCell ref="B47:F47"/>
    <mergeCell ref="B49:F49"/>
    <mergeCell ref="O9:X9"/>
    <mergeCell ref="C6:E6"/>
    <mergeCell ref="C7:E7"/>
    <mergeCell ref="B17:B18"/>
    <mergeCell ref="AA45:AA46"/>
    <mergeCell ref="AA17:AA18"/>
    <mergeCell ref="G17:Z17"/>
    <mergeCell ref="O13:X13"/>
    <mergeCell ref="O14:X14"/>
    <mergeCell ref="G14:H14"/>
    <mergeCell ref="G13:H13"/>
  </mergeCells>
  <conditionalFormatting sqref="D35:D38 D19:D25 D32">
    <cfRule type="expression" priority="25" dxfId="0" stopIfTrue="1">
      <formula>IF(ISBLANK(D19),FALSE,IF(C19&gt;D19,TRUE,FALSE))</formula>
    </cfRule>
  </conditionalFormatting>
  <conditionalFormatting sqref="C35:C38 C19:C25 C32">
    <cfRule type="expression" priority="26" dxfId="0" stopIfTrue="1">
      <formula>IF(ISBLANK(D19),FALSE,IF(C19&gt;D19,TRUE,FALSE))</formula>
    </cfRule>
    <cfRule type="expression" priority="27" dxfId="0" stopIfTrue="1">
      <formula>IF(ISBLANK(B19),FALSE,IF(ISBLANK(C19),TRUE,FALSE))</formula>
    </cfRule>
  </conditionalFormatting>
  <conditionalFormatting sqref="B49:Z49">
    <cfRule type="expression" priority="28" dxfId="5" stopIfTrue="1">
      <formula>$C$8="no"</formula>
    </cfRule>
  </conditionalFormatting>
  <conditionalFormatting sqref="B51:Z51">
    <cfRule type="expression" priority="29" dxfId="5" stopIfTrue="1">
      <formula>$C$8="yes"</formula>
    </cfRule>
  </conditionalFormatting>
  <conditionalFormatting sqref="F35:F38 F19:F25 F32">
    <cfRule type="cellIs" priority="30" dxfId="0" operator="lessThan" stopIfTrue="1">
      <formula>0</formula>
    </cfRule>
  </conditionalFormatting>
  <conditionalFormatting sqref="D26">
    <cfRule type="expression" priority="21" dxfId="0" stopIfTrue="1">
      <formula>IF(ISBLANK(D26),FALSE,IF(C26&gt;D26,TRUE,FALSE))</formula>
    </cfRule>
  </conditionalFormatting>
  <conditionalFormatting sqref="C26">
    <cfRule type="expression" priority="22" dxfId="0" stopIfTrue="1">
      <formula>IF(ISBLANK(D26),FALSE,IF(C26&gt;D26,TRUE,FALSE))</formula>
    </cfRule>
    <cfRule type="expression" priority="23" dxfId="0" stopIfTrue="1">
      <formula>IF(ISBLANK(B26),FALSE,IF(ISBLANK(C26),TRUE,FALSE))</formula>
    </cfRule>
  </conditionalFormatting>
  <conditionalFormatting sqref="F26">
    <cfRule type="cellIs" priority="24" dxfId="0" operator="lessThan" stopIfTrue="1">
      <formula>0</formula>
    </cfRule>
  </conditionalFormatting>
  <conditionalFormatting sqref="D27">
    <cfRule type="expression" priority="17" dxfId="0" stopIfTrue="1">
      <formula>IF(ISBLANK(D27),FALSE,IF(C27&gt;D27,TRUE,FALSE))</formula>
    </cfRule>
  </conditionalFormatting>
  <conditionalFormatting sqref="C27">
    <cfRule type="expression" priority="18" dxfId="0" stopIfTrue="1">
      <formula>IF(ISBLANK(D27),FALSE,IF(C27&gt;D27,TRUE,FALSE))</formula>
    </cfRule>
    <cfRule type="expression" priority="19" dxfId="0" stopIfTrue="1">
      <formula>IF(ISBLANK(B27),FALSE,IF(ISBLANK(C27),TRUE,FALSE))</formula>
    </cfRule>
  </conditionalFormatting>
  <conditionalFormatting sqref="F27">
    <cfRule type="cellIs" priority="20" dxfId="0" operator="lessThan" stopIfTrue="1">
      <formula>0</formula>
    </cfRule>
  </conditionalFormatting>
  <conditionalFormatting sqref="D28">
    <cfRule type="expression" priority="13" dxfId="0" stopIfTrue="1">
      <formula>IF(ISBLANK(D28),FALSE,IF(C28&gt;D28,TRUE,FALSE))</formula>
    </cfRule>
  </conditionalFormatting>
  <conditionalFormatting sqref="C28">
    <cfRule type="expression" priority="14" dxfId="0" stopIfTrue="1">
      <formula>IF(ISBLANK(D28),FALSE,IF(C28&gt;D28,TRUE,FALSE))</formula>
    </cfRule>
    <cfRule type="expression" priority="15" dxfId="0" stopIfTrue="1">
      <formula>IF(ISBLANK(B28),FALSE,IF(ISBLANK(C28),TRUE,FALSE))</formula>
    </cfRule>
  </conditionalFormatting>
  <conditionalFormatting sqref="F28">
    <cfRule type="cellIs" priority="16" dxfId="0" operator="lessThan" stopIfTrue="1">
      <formula>0</formula>
    </cfRule>
  </conditionalFormatting>
  <conditionalFormatting sqref="D29">
    <cfRule type="expression" priority="9" dxfId="0" stopIfTrue="1">
      <formula>IF(ISBLANK(D29),FALSE,IF(C29&gt;D29,TRUE,FALSE))</formula>
    </cfRule>
  </conditionalFormatting>
  <conditionalFormatting sqref="C29">
    <cfRule type="expression" priority="10" dxfId="0" stopIfTrue="1">
      <formula>IF(ISBLANK(D29),FALSE,IF(C29&gt;D29,TRUE,FALSE))</formula>
    </cfRule>
    <cfRule type="expression" priority="11" dxfId="0" stopIfTrue="1">
      <formula>IF(ISBLANK(B29),FALSE,IF(ISBLANK(C29),TRUE,FALSE))</formula>
    </cfRule>
  </conditionalFormatting>
  <conditionalFormatting sqref="F29">
    <cfRule type="cellIs" priority="12" dxfId="0" operator="lessThan" stopIfTrue="1">
      <formula>0</formula>
    </cfRule>
  </conditionalFormatting>
  <conditionalFormatting sqref="D30">
    <cfRule type="expression" priority="5" dxfId="0" stopIfTrue="1">
      <formula>IF(ISBLANK(D30),FALSE,IF(C30&gt;D30,TRUE,FALSE))</formula>
    </cfRule>
  </conditionalFormatting>
  <conditionalFormatting sqref="C30">
    <cfRule type="expression" priority="6" dxfId="0" stopIfTrue="1">
      <formula>IF(ISBLANK(D30),FALSE,IF(C30&gt;D30,TRUE,FALSE))</formula>
    </cfRule>
    <cfRule type="expression" priority="7" dxfId="0" stopIfTrue="1">
      <formula>IF(ISBLANK(B30),FALSE,IF(ISBLANK(C30),TRUE,FALSE))</formula>
    </cfRule>
  </conditionalFormatting>
  <conditionalFormatting sqref="F30">
    <cfRule type="cellIs" priority="8" dxfId="0" operator="lessThan" stopIfTrue="1">
      <formula>0</formula>
    </cfRule>
  </conditionalFormatting>
  <conditionalFormatting sqref="D31">
    <cfRule type="expression" priority="1" dxfId="0" stopIfTrue="1">
      <formula>IF(ISBLANK(D31),FALSE,IF(C31&gt;D31,TRUE,FALSE))</formula>
    </cfRule>
  </conditionalFormatting>
  <conditionalFormatting sqref="C31">
    <cfRule type="expression" priority="2" dxfId="0" stopIfTrue="1">
      <formula>IF(ISBLANK(D31),FALSE,IF(C31&gt;D31,TRUE,FALSE))</formula>
    </cfRule>
    <cfRule type="expression" priority="3" dxfId="0" stopIfTrue="1">
      <formula>IF(ISBLANK(B31),FALSE,IF(ISBLANK(C31),TRUE,FALSE))</formula>
    </cfRule>
  </conditionalFormatting>
  <conditionalFormatting sqref="F31">
    <cfRule type="cellIs" priority="4" dxfId="0" operator="lessThan" stopIfTrue="1">
      <formula>0</formula>
    </cfRule>
  </conditionalFormatting>
  <dataValidations count="4">
    <dataValidation type="list" allowBlank="1" showInputMessage="1" showErrorMessage="1" sqref="C35:C38">
      <formula1>$C$101:$C$120</formula1>
    </dataValidation>
    <dataValidation type="list" allowBlank="1" showInputMessage="1" showErrorMessage="1" sqref="D35:E38 D19:E32">
      <formula1>$C$100:$C$120</formula1>
    </dataValidation>
    <dataValidation type="list" showInputMessage="1" showErrorMessage="1" sqref="C19:C32">
      <formula1>$C$101:$C$120</formula1>
    </dataValidation>
    <dataValidation type="list" allowBlank="1" showInputMessage="1" showErrorMessage="1" sqref="C8">
      <formula1>YesNo</formula1>
    </dataValidation>
  </dataValidations>
  <printOptions/>
  <pageMargins left="0.5511811023622047" right="0.31496062992125984" top="0.984251968503937" bottom="0.984251968503937" header="0.5118110236220472" footer="0.5118110236220472"/>
  <pageSetup fitToHeight="1" fitToWidth="1" horizontalDpi="600" verticalDpi="600" orientation="landscape" paperSize="9" scale="31" r:id="rId4"/>
  <drawing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2:K78"/>
  <sheetViews>
    <sheetView showGridLines="0" zoomScale="75" zoomScaleNormal="75" zoomScaleSheetLayoutView="100" zoomScalePageLayoutView="0" workbookViewId="0" topLeftCell="A1">
      <selection activeCell="G56" sqref="G56"/>
    </sheetView>
  </sheetViews>
  <sheetFormatPr defaultColWidth="9.140625" defaultRowHeight="12.75"/>
  <cols>
    <col min="1" max="1" width="9.140625" style="59" customWidth="1"/>
    <col min="2" max="2" width="4.7109375" style="59" customWidth="1"/>
    <col min="3" max="3" width="87.8515625" style="356" customWidth="1"/>
    <col min="4" max="4" width="14.00390625" style="61" customWidth="1"/>
    <col min="5" max="8" width="14.00390625" style="62" customWidth="1"/>
    <col min="9" max="9" width="9.140625" style="59" customWidth="1"/>
    <col min="10" max="10" width="19.140625" style="59" customWidth="1"/>
    <col min="11" max="16384" width="9.140625" style="59" customWidth="1"/>
  </cols>
  <sheetData>
    <row r="1" ht="14.25" customHeight="1"/>
    <row r="2" spans="2:8" ht="24" customHeight="1">
      <c r="B2" s="539" t="s">
        <v>250</v>
      </c>
      <c r="C2" s="540"/>
      <c r="D2" s="540"/>
      <c r="E2" s="540"/>
      <c r="F2" s="540"/>
      <c r="G2" s="540"/>
      <c r="H2" s="540"/>
    </row>
    <row r="3" spans="2:8" ht="12.75" customHeight="1">
      <c r="B3" s="63"/>
      <c r="C3" s="384"/>
      <c r="D3" s="64"/>
      <c r="E3" s="64"/>
      <c r="F3" s="64"/>
      <c r="G3" s="64"/>
      <c r="H3" s="64"/>
    </row>
    <row r="4" ht="13.5" thickBot="1">
      <c r="C4" s="357"/>
    </row>
    <row r="5" spans="2:8" ht="33.75" customHeight="1" thickBot="1">
      <c r="B5" s="770" t="s">
        <v>170</v>
      </c>
      <c r="C5" s="744" t="s">
        <v>259</v>
      </c>
      <c r="D5" s="745" t="s">
        <v>84</v>
      </c>
      <c r="E5" s="746" t="s">
        <v>37</v>
      </c>
      <c r="F5" s="747" t="s">
        <v>38</v>
      </c>
      <c r="G5" s="746" t="s">
        <v>39</v>
      </c>
      <c r="H5" s="825" t="s">
        <v>40</v>
      </c>
    </row>
    <row r="6" spans="2:8" ht="19.5" customHeight="1">
      <c r="B6" s="771"/>
      <c r="C6" s="468" t="s">
        <v>260</v>
      </c>
      <c r="D6" s="817"/>
      <c r="E6" s="818"/>
      <c r="F6" s="819"/>
      <c r="G6" s="818"/>
      <c r="H6" s="820"/>
    </row>
    <row r="7" spans="2:8" ht="19.5" customHeight="1" thickBot="1">
      <c r="B7" s="772"/>
      <c r="C7" s="469" t="s">
        <v>73</v>
      </c>
      <c r="D7" s="821">
        <v>1</v>
      </c>
      <c r="E7" s="822">
        <v>1</v>
      </c>
      <c r="F7" s="823">
        <v>1</v>
      </c>
      <c r="G7" s="822">
        <v>1</v>
      </c>
      <c r="H7" s="824">
        <v>1</v>
      </c>
    </row>
    <row r="8" spans="4:8" ht="30" customHeight="1" thickBot="1">
      <c r="D8" s="65"/>
      <c r="E8" s="65"/>
      <c r="F8" s="65"/>
      <c r="G8" s="65"/>
      <c r="H8" s="65"/>
    </row>
    <row r="9" spans="2:8" ht="35.25" customHeight="1" thickBot="1">
      <c r="B9" s="716" t="s">
        <v>70</v>
      </c>
      <c r="C9" s="719" t="s">
        <v>267</v>
      </c>
      <c r="D9" s="722" t="s">
        <v>84</v>
      </c>
      <c r="E9" s="721" t="s">
        <v>37</v>
      </c>
      <c r="F9" s="722" t="s">
        <v>38</v>
      </c>
      <c r="G9" s="721" t="s">
        <v>39</v>
      </c>
      <c r="H9" s="826" t="s">
        <v>40</v>
      </c>
    </row>
    <row r="10" spans="2:8" ht="19.5" customHeight="1">
      <c r="B10" s="717"/>
      <c r="C10" s="467" t="s">
        <v>262</v>
      </c>
      <c r="D10" s="829"/>
      <c r="E10" s="830"/>
      <c r="F10" s="829"/>
      <c r="G10" s="830"/>
      <c r="H10" s="831"/>
    </row>
    <row r="11" spans="2:8" s="66" customFormat="1" ht="19.5" customHeight="1">
      <c r="B11" s="717"/>
      <c r="C11" s="427" t="s">
        <v>187</v>
      </c>
      <c r="D11" s="832"/>
      <c r="E11" s="833"/>
      <c r="F11" s="832"/>
      <c r="G11" s="833"/>
      <c r="H11" s="834"/>
    </row>
    <row r="12" spans="2:8" ht="19.5" customHeight="1">
      <c r="B12" s="717"/>
      <c r="C12" s="485" t="s">
        <v>263</v>
      </c>
      <c r="D12" s="486">
        <v>2775</v>
      </c>
      <c r="E12" s="486">
        <v>2775</v>
      </c>
      <c r="F12" s="486">
        <v>2775</v>
      </c>
      <c r="G12" s="486">
        <v>2775</v>
      </c>
      <c r="H12" s="486">
        <v>2775</v>
      </c>
    </row>
    <row r="13" spans="2:8" ht="19.5" customHeight="1">
      <c r="B13" s="717"/>
      <c r="C13" s="427" t="s">
        <v>186</v>
      </c>
      <c r="D13" s="832"/>
      <c r="E13" s="833"/>
      <c r="F13" s="832"/>
      <c r="G13" s="833"/>
      <c r="H13" s="835"/>
    </row>
    <row r="14" spans="2:8" s="66" customFormat="1" ht="19.5" customHeight="1">
      <c r="B14" s="717"/>
      <c r="C14" s="427" t="s">
        <v>190</v>
      </c>
      <c r="D14" s="833"/>
      <c r="E14" s="833"/>
      <c r="F14" s="832"/>
      <c r="G14" s="833"/>
      <c r="H14" s="835"/>
    </row>
    <row r="15" spans="2:8" ht="19.5" customHeight="1" thickBot="1">
      <c r="B15" s="717"/>
      <c r="C15" s="434" t="s">
        <v>264</v>
      </c>
      <c r="D15" s="479">
        <f>SUM(D10:D14)</f>
        <v>2775</v>
      </c>
      <c r="E15" s="478">
        <f>SUM(E10:E14)</f>
        <v>2775</v>
      </c>
      <c r="F15" s="479">
        <f>SUM(F10:F14)</f>
        <v>2775</v>
      </c>
      <c r="G15" s="478">
        <f>SUM(G10:G14)</f>
        <v>2775</v>
      </c>
      <c r="H15" s="480">
        <f>SUM(H10:H14)</f>
        <v>2775</v>
      </c>
    </row>
    <row r="16" spans="2:8" ht="19.5" customHeight="1">
      <c r="B16" s="717"/>
      <c r="C16" s="467" t="s">
        <v>89</v>
      </c>
      <c r="D16" s="836">
        <v>1</v>
      </c>
      <c r="E16" s="837"/>
      <c r="F16" s="836"/>
      <c r="G16" s="837"/>
      <c r="H16" s="838"/>
    </row>
    <row r="17" spans="2:8" ht="19.5" customHeight="1">
      <c r="B17" s="717"/>
      <c r="C17" s="427" t="s">
        <v>82</v>
      </c>
      <c r="D17" s="428">
        <f>D15*D16</f>
        <v>2775</v>
      </c>
      <c r="E17" s="429">
        <f>E15*E16</f>
        <v>0</v>
      </c>
      <c r="F17" s="428">
        <f>F15*F16</f>
        <v>0</v>
      </c>
      <c r="G17" s="429">
        <f>G15*G16</f>
        <v>0</v>
      </c>
      <c r="H17" s="430">
        <f>H15*H16</f>
        <v>0</v>
      </c>
    </row>
    <row r="18" spans="2:8" ht="19.5" customHeight="1" thickBot="1">
      <c r="B18" s="717"/>
      <c r="C18" s="724" t="s">
        <v>265</v>
      </c>
      <c r="D18" s="727">
        <f>SUM(D15+D17)</f>
        <v>5550</v>
      </c>
      <c r="E18" s="726">
        <f>SUM(E15+E17)</f>
        <v>2775</v>
      </c>
      <c r="F18" s="727">
        <f>SUM(F15+F17)</f>
        <v>2775</v>
      </c>
      <c r="G18" s="726">
        <f>SUM(G15+G17)</f>
        <v>2775</v>
      </c>
      <c r="H18" s="827">
        <f>SUM(H15+H17)</f>
        <v>2775</v>
      </c>
    </row>
    <row r="19" spans="2:8" ht="13.5" thickBot="1">
      <c r="B19" s="717"/>
      <c r="C19" s="365"/>
      <c r="D19" s="272"/>
      <c r="E19" s="273"/>
      <c r="F19" s="273"/>
      <c r="G19" s="273"/>
      <c r="H19" s="274"/>
    </row>
    <row r="20" spans="2:8" ht="33" customHeight="1" thickBot="1">
      <c r="B20" s="717"/>
      <c r="C20" s="719" t="s">
        <v>191</v>
      </c>
      <c r="D20" s="722" t="s">
        <v>84</v>
      </c>
      <c r="E20" s="721" t="s">
        <v>37</v>
      </c>
      <c r="F20" s="722" t="s">
        <v>38</v>
      </c>
      <c r="G20" s="721" t="s">
        <v>39</v>
      </c>
      <c r="H20" s="826" t="s">
        <v>40</v>
      </c>
    </row>
    <row r="21" spans="2:8" s="69" customFormat="1" ht="19.5" customHeight="1">
      <c r="B21" s="717"/>
      <c r="C21" s="467" t="s">
        <v>85</v>
      </c>
      <c r="D21" s="839"/>
      <c r="E21" s="840"/>
      <c r="F21" s="839"/>
      <c r="G21" s="840"/>
      <c r="H21" s="841"/>
    </row>
    <row r="22" spans="2:8" s="69" customFormat="1" ht="19.5" customHeight="1">
      <c r="B22" s="717"/>
      <c r="C22" s="427" t="s">
        <v>59</v>
      </c>
      <c r="D22" s="431">
        <f>D21*D6</f>
        <v>0</v>
      </c>
      <c r="E22" s="432">
        <f>E21*E6</f>
        <v>0</v>
      </c>
      <c r="F22" s="431">
        <f>F21*F6</f>
        <v>0</v>
      </c>
      <c r="G22" s="432">
        <f>G21*G6</f>
        <v>0</v>
      </c>
      <c r="H22" s="433">
        <f>H21*H6</f>
        <v>0</v>
      </c>
    </row>
    <row r="23" spans="2:8" s="69" customFormat="1" ht="19.5" customHeight="1">
      <c r="B23" s="717"/>
      <c r="C23" s="427" t="s">
        <v>195</v>
      </c>
      <c r="D23" s="832"/>
      <c r="E23" s="833"/>
      <c r="F23" s="832"/>
      <c r="G23" s="833"/>
      <c r="H23" s="835"/>
    </row>
    <row r="24" spans="2:8" s="69" customFormat="1" ht="19.5" customHeight="1" thickBot="1">
      <c r="B24" s="718"/>
      <c r="C24" s="729" t="s">
        <v>71</v>
      </c>
      <c r="D24" s="732">
        <f>D22+D23</f>
        <v>0</v>
      </c>
      <c r="E24" s="731">
        <f>E22+E23</f>
        <v>0</v>
      </c>
      <c r="F24" s="732">
        <f>F22+F23</f>
        <v>0</v>
      </c>
      <c r="G24" s="731">
        <f>G22+G23</f>
        <v>0</v>
      </c>
      <c r="H24" s="828">
        <f>H22+H23</f>
        <v>0</v>
      </c>
    </row>
    <row r="25" spans="2:8" s="66" customFormat="1" ht="30" customHeight="1" thickBot="1">
      <c r="B25" s="70"/>
      <c r="C25" s="367"/>
      <c r="D25" s="67"/>
      <c r="E25" s="67"/>
      <c r="F25" s="67"/>
      <c r="G25" s="67"/>
      <c r="H25" s="67"/>
    </row>
    <row r="26" spans="2:10" ht="39.75" customHeight="1" thickBot="1">
      <c r="B26" s="653" t="s">
        <v>69</v>
      </c>
      <c r="C26" s="652" t="s">
        <v>149</v>
      </c>
      <c r="D26" s="655" t="s">
        <v>84</v>
      </c>
      <c r="E26" s="656" t="s">
        <v>37</v>
      </c>
      <c r="F26" s="657" t="s">
        <v>38</v>
      </c>
      <c r="G26" s="656" t="s">
        <v>39</v>
      </c>
      <c r="H26" s="846" t="s">
        <v>40</v>
      </c>
      <c r="J26" s="845" t="s">
        <v>193</v>
      </c>
    </row>
    <row r="27" spans="2:10" ht="47.25" customHeight="1" thickBot="1">
      <c r="B27" s="654"/>
      <c r="C27" s="470" t="s">
        <v>192</v>
      </c>
      <c r="D27" s="842"/>
      <c r="E27" s="843"/>
      <c r="F27" s="843"/>
      <c r="G27" s="843"/>
      <c r="H27" s="844"/>
      <c r="J27" s="435">
        <f>+'Total Fund Deposit'!$AC$40</f>
        <v>53696.249999999985</v>
      </c>
    </row>
    <row r="28" spans="2:8" s="66" customFormat="1" ht="30" customHeight="1" thickBot="1">
      <c r="B28" s="70"/>
      <c r="C28" s="367"/>
      <c r="D28" s="67"/>
      <c r="E28" s="67"/>
      <c r="F28" s="67"/>
      <c r="G28" s="67"/>
      <c r="H28" s="67"/>
    </row>
    <row r="29" spans="2:8" s="66" customFormat="1" ht="27" customHeight="1" thickBot="1">
      <c r="B29" s="749" t="s">
        <v>78</v>
      </c>
      <c r="C29" s="744" t="s">
        <v>133</v>
      </c>
      <c r="D29" s="850" t="s">
        <v>84</v>
      </c>
      <c r="E29" s="851" t="s">
        <v>37</v>
      </c>
      <c r="F29" s="850" t="s">
        <v>38</v>
      </c>
      <c r="G29" s="851" t="s">
        <v>39</v>
      </c>
      <c r="H29" s="852" t="s">
        <v>40</v>
      </c>
    </row>
    <row r="30" spans="2:8" s="75" customFormat="1" ht="19.5" customHeight="1">
      <c r="B30" s="750"/>
      <c r="C30" s="660" t="s">
        <v>149</v>
      </c>
      <c r="D30" s="661">
        <f>D27</f>
        <v>0</v>
      </c>
      <c r="E30" s="662">
        <f>E27</f>
        <v>0</v>
      </c>
      <c r="F30" s="663">
        <f>F27</f>
        <v>0</v>
      </c>
      <c r="G30" s="662">
        <f>G27</f>
        <v>0</v>
      </c>
      <c r="H30" s="847">
        <f>H27</f>
        <v>0</v>
      </c>
    </row>
    <row r="31" spans="2:8" s="75" customFormat="1" ht="19.5" customHeight="1">
      <c r="B31" s="750"/>
      <c r="C31" s="734" t="s">
        <v>266</v>
      </c>
      <c r="D31" s="735">
        <f>D18</f>
        <v>5550</v>
      </c>
      <c r="E31" s="736">
        <f>E18</f>
        <v>2775</v>
      </c>
      <c r="F31" s="737">
        <f>F18</f>
        <v>2775</v>
      </c>
      <c r="G31" s="736">
        <f>G18</f>
        <v>2775</v>
      </c>
      <c r="H31" s="848">
        <f>H18</f>
        <v>2775</v>
      </c>
    </row>
    <row r="32" spans="2:8" s="75" customFormat="1" ht="19.5" customHeight="1" thickBot="1">
      <c r="B32" s="750"/>
      <c r="C32" s="739" t="s">
        <v>71</v>
      </c>
      <c r="D32" s="740">
        <f>D24</f>
        <v>0</v>
      </c>
      <c r="E32" s="741">
        <f>E24</f>
        <v>0</v>
      </c>
      <c r="F32" s="742">
        <f>F24</f>
        <v>0</v>
      </c>
      <c r="G32" s="741">
        <f>G24</f>
        <v>0</v>
      </c>
      <c r="H32" s="849">
        <f>H24</f>
        <v>0</v>
      </c>
    </row>
    <row r="33" spans="2:8" s="75" customFormat="1" ht="19.5" customHeight="1" thickBot="1">
      <c r="B33" s="750"/>
      <c r="C33" s="436" t="s">
        <v>143</v>
      </c>
      <c r="D33" s="437">
        <f>D30+D31+D32</f>
        <v>5550</v>
      </c>
      <c r="E33" s="438">
        <f>E30+E31+E32</f>
        <v>2775</v>
      </c>
      <c r="F33" s="439">
        <f>F30+F31+F32</f>
        <v>2775</v>
      </c>
      <c r="G33" s="438">
        <f>G30+G31+G32</f>
        <v>2775</v>
      </c>
      <c r="H33" s="440">
        <f>H30+H31+H32</f>
        <v>2775</v>
      </c>
    </row>
    <row r="34" spans="2:8" s="75" customFormat="1" ht="19.5" customHeight="1">
      <c r="B34" s="750"/>
      <c r="C34" s="471" t="s">
        <v>223</v>
      </c>
      <c r="D34" s="854"/>
      <c r="E34" s="837"/>
      <c r="F34" s="836"/>
      <c r="G34" s="837"/>
      <c r="H34" s="838"/>
    </row>
    <row r="35" spans="2:8" s="75" customFormat="1" ht="19.5" customHeight="1" thickBot="1">
      <c r="B35" s="750"/>
      <c r="C35" s="441" t="s">
        <v>199</v>
      </c>
      <c r="D35" s="442">
        <f>D33*D34</f>
        <v>0</v>
      </c>
      <c r="E35" s="443">
        <f>E33*E34</f>
        <v>0</v>
      </c>
      <c r="F35" s="444">
        <f>F33*F34</f>
        <v>0</v>
      </c>
      <c r="G35" s="443">
        <f>G33*G34</f>
        <v>0</v>
      </c>
      <c r="H35" s="445">
        <f>H33*H34</f>
        <v>0</v>
      </c>
    </row>
    <row r="36" spans="2:8" s="75" customFormat="1" ht="19.5" customHeight="1" thickBot="1">
      <c r="B36" s="751"/>
      <c r="C36" s="752" t="s">
        <v>200</v>
      </c>
      <c r="D36" s="753">
        <f>D33+D35</f>
        <v>5550</v>
      </c>
      <c r="E36" s="754">
        <f>E33+E35</f>
        <v>2775</v>
      </c>
      <c r="F36" s="755">
        <f>F33+F35</f>
        <v>2775</v>
      </c>
      <c r="G36" s="754">
        <f>G33+G35</f>
        <v>2775</v>
      </c>
      <c r="H36" s="853">
        <f>H33+H35</f>
        <v>2775</v>
      </c>
    </row>
    <row r="37" spans="2:9" s="75" customFormat="1" ht="30" customHeight="1" thickBot="1">
      <c r="B37" s="133"/>
      <c r="C37" s="375"/>
      <c r="D37" s="67"/>
      <c r="E37" s="67"/>
      <c r="F37" s="67"/>
      <c r="G37" s="67"/>
      <c r="H37" s="67"/>
      <c r="I37" s="134"/>
    </row>
    <row r="38" spans="2:8" s="75" customFormat="1" ht="30" customHeight="1" thickBot="1">
      <c r="B38" s="749" t="s">
        <v>77</v>
      </c>
      <c r="C38" s="744" t="s">
        <v>58</v>
      </c>
      <c r="D38" s="745" t="s">
        <v>84</v>
      </c>
      <c r="E38" s="746" t="s">
        <v>37</v>
      </c>
      <c r="F38" s="747" t="s">
        <v>38</v>
      </c>
      <c r="G38" s="746" t="s">
        <v>39</v>
      </c>
      <c r="H38" s="825" t="s">
        <v>40</v>
      </c>
    </row>
    <row r="39" spans="2:8" s="75" customFormat="1" ht="19.5" customHeight="1">
      <c r="B39" s="855"/>
      <c r="C39" s="660" t="s">
        <v>74</v>
      </c>
      <c r="D39" s="661">
        <f aca="true" t="shared" si="0" ref="D39:H41">D30/D$7</f>
        <v>0</v>
      </c>
      <c r="E39" s="662">
        <f t="shared" si="0"/>
        <v>0</v>
      </c>
      <c r="F39" s="663">
        <f t="shared" si="0"/>
        <v>0</v>
      </c>
      <c r="G39" s="662">
        <f t="shared" si="0"/>
        <v>0</v>
      </c>
      <c r="H39" s="847">
        <f t="shared" si="0"/>
        <v>0</v>
      </c>
    </row>
    <row r="40" spans="2:8" s="75" customFormat="1" ht="19.5" customHeight="1">
      <c r="B40" s="855"/>
      <c r="C40" s="128" t="s">
        <v>268</v>
      </c>
      <c r="D40" s="446">
        <f t="shared" si="0"/>
        <v>5550</v>
      </c>
      <c r="E40" s="447">
        <f t="shared" si="0"/>
        <v>2775</v>
      </c>
      <c r="F40" s="448">
        <f t="shared" si="0"/>
        <v>2775</v>
      </c>
      <c r="G40" s="447">
        <f t="shared" si="0"/>
        <v>2775</v>
      </c>
      <c r="H40" s="449">
        <f t="shared" si="0"/>
        <v>2775</v>
      </c>
    </row>
    <row r="41" spans="2:8" s="75" customFormat="1" ht="19.5" customHeight="1">
      <c r="B41" s="855"/>
      <c r="C41" s="450" t="s">
        <v>197</v>
      </c>
      <c r="D41" s="446">
        <f t="shared" si="0"/>
        <v>0</v>
      </c>
      <c r="E41" s="447">
        <f t="shared" si="0"/>
        <v>0</v>
      </c>
      <c r="F41" s="448">
        <f t="shared" si="0"/>
        <v>0</v>
      </c>
      <c r="G41" s="447">
        <f t="shared" si="0"/>
        <v>0</v>
      </c>
      <c r="H41" s="449">
        <f t="shared" si="0"/>
        <v>0</v>
      </c>
    </row>
    <row r="42" spans="2:8" s="75" customFormat="1" ht="19.5" customHeight="1">
      <c r="B42" s="855"/>
      <c r="C42" s="451" t="s">
        <v>144</v>
      </c>
      <c r="D42" s="452">
        <f aca="true" t="shared" si="1" ref="D42:H43">D35/D$7</f>
        <v>0</v>
      </c>
      <c r="E42" s="453">
        <f t="shared" si="1"/>
        <v>0</v>
      </c>
      <c r="F42" s="454">
        <f t="shared" si="1"/>
        <v>0</v>
      </c>
      <c r="G42" s="453">
        <f t="shared" si="1"/>
        <v>0</v>
      </c>
      <c r="H42" s="455">
        <f t="shared" si="1"/>
        <v>0</v>
      </c>
    </row>
    <row r="43" spans="2:8" s="75" customFormat="1" ht="19.5" customHeight="1">
      <c r="B43" s="855"/>
      <c r="C43" s="776" t="s">
        <v>198</v>
      </c>
      <c r="D43" s="777">
        <f t="shared" si="1"/>
        <v>5550</v>
      </c>
      <c r="E43" s="778">
        <f t="shared" si="1"/>
        <v>2775</v>
      </c>
      <c r="F43" s="779">
        <f t="shared" si="1"/>
        <v>2775</v>
      </c>
      <c r="G43" s="778">
        <f t="shared" si="1"/>
        <v>2775</v>
      </c>
      <c r="H43" s="857">
        <f t="shared" si="1"/>
        <v>2775</v>
      </c>
    </row>
    <row r="44" spans="2:8" s="66" customFormat="1" ht="19.5" customHeight="1">
      <c r="B44" s="855"/>
      <c r="C44" s="451"/>
      <c r="D44" s="456"/>
      <c r="E44" s="457"/>
      <c r="F44" s="457"/>
      <c r="G44" s="457"/>
      <c r="H44" s="458"/>
    </row>
    <row r="45" spans="2:8" ht="19.5" customHeight="1">
      <c r="B45" s="855"/>
      <c r="C45" s="472" t="s">
        <v>83</v>
      </c>
      <c r="D45" s="860">
        <v>1</v>
      </c>
      <c r="E45" s="861">
        <v>1</v>
      </c>
      <c r="F45" s="862">
        <v>1</v>
      </c>
      <c r="G45" s="861">
        <v>1</v>
      </c>
      <c r="H45" s="863">
        <v>1</v>
      </c>
    </row>
    <row r="46" spans="2:8" s="75" customFormat="1" ht="19.5" customHeight="1">
      <c r="B46" s="855"/>
      <c r="C46" s="757" t="s">
        <v>202</v>
      </c>
      <c r="D46" s="758">
        <f>D36*D45</f>
        <v>5550</v>
      </c>
      <c r="E46" s="759">
        <f>E36*E45</f>
        <v>2775</v>
      </c>
      <c r="F46" s="760">
        <f>F36*F45</f>
        <v>2775</v>
      </c>
      <c r="G46" s="759">
        <f>G36*G45</f>
        <v>2775</v>
      </c>
      <c r="H46" s="864">
        <f>H36*H45</f>
        <v>2775</v>
      </c>
    </row>
    <row r="47" spans="2:8" s="75" customFormat="1" ht="34.5" customHeight="1">
      <c r="B47" s="855"/>
      <c r="C47" s="781" t="s">
        <v>238</v>
      </c>
      <c r="D47" s="782">
        <f>D36/(D45*D7)</f>
        <v>5550</v>
      </c>
      <c r="E47" s="783">
        <f>E36/(E45*E7)</f>
        <v>2775</v>
      </c>
      <c r="F47" s="784">
        <f>F36/(F45*F7)</f>
        <v>2775</v>
      </c>
      <c r="G47" s="783">
        <f>G36/(G45*G7)</f>
        <v>2775</v>
      </c>
      <c r="H47" s="858">
        <f>H36/(H45*H7)</f>
        <v>2775</v>
      </c>
    </row>
    <row r="48" spans="2:8" s="75" customFormat="1" ht="34.5" customHeight="1">
      <c r="B48" s="855"/>
      <c r="C48" s="786" t="s">
        <v>237</v>
      </c>
      <c r="D48" s="787">
        <f>(D30*0.8)/(D45*D7)</f>
        <v>0</v>
      </c>
      <c r="E48" s="788">
        <f>(E30*0.8)/(E45*E7)</f>
        <v>0</v>
      </c>
      <c r="F48" s="789">
        <f>(F30*0.8)/(F45*F7)</f>
        <v>0</v>
      </c>
      <c r="G48" s="788">
        <f>(G30*0.8)/(G45*G7)</f>
        <v>0</v>
      </c>
      <c r="H48" s="859">
        <f>(H30*0.8)/(H45*H7)</f>
        <v>0</v>
      </c>
    </row>
    <row r="49" spans="2:8" s="75" customFormat="1" ht="34.5" customHeight="1" thickBot="1">
      <c r="B49" s="856"/>
      <c r="C49" s="791" t="s">
        <v>236</v>
      </c>
      <c r="D49" s="792">
        <f>D30/(D45*D7)</f>
        <v>0</v>
      </c>
      <c r="E49" s="793">
        <f>E30/(E45*E7)</f>
        <v>0</v>
      </c>
      <c r="F49" s="793">
        <f>F30/(F45*F7)</f>
        <v>0</v>
      </c>
      <c r="G49" s="793">
        <f>G30/(G45*G7)</f>
        <v>0</v>
      </c>
      <c r="H49" s="794">
        <f>H30/(H45*H7)</f>
        <v>0</v>
      </c>
    </row>
    <row r="50" ht="12.75">
      <c r="C50" s="385"/>
    </row>
    <row r="51" ht="12.75">
      <c r="C51" s="385"/>
    </row>
    <row r="52" ht="12.75">
      <c r="C52" s="385"/>
    </row>
    <row r="53" ht="14.25">
      <c r="A53" s="880" t="s">
        <v>271</v>
      </c>
    </row>
    <row r="54" spans="3:11" ht="12.75" customHeight="1">
      <c r="C54" s="421"/>
      <c r="D54" s="422"/>
      <c r="E54" s="423"/>
      <c r="F54" s="423"/>
      <c r="G54" s="423"/>
      <c r="H54" s="423"/>
      <c r="I54" s="424"/>
      <c r="J54" s="424"/>
      <c r="K54" s="424"/>
    </row>
    <row r="55" spans="3:11" ht="12">
      <c r="C55" s="421"/>
      <c r="D55" s="422"/>
      <c r="E55" s="423"/>
      <c r="F55" s="423"/>
      <c r="G55" s="423"/>
      <c r="H55" s="423"/>
      <c r="I55" s="424"/>
      <c r="J55" s="424"/>
      <c r="K55" s="424"/>
    </row>
    <row r="56" spans="3:11" ht="12">
      <c r="C56" s="421"/>
      <c r="D56" s="422"/>
      <c r="E56" s="423"/>
      <c r="F56" s="423"/>
      <c r="G56" s="423"/>
      <c r="H56" s="423"/>
      <c r="I56" s="424"/>
      <c r="J56" s="424"/>
      <c r="K56" s="424"/>
    </row>
    <row r="57" spans="3:11" ht="12">
      <c r="C57" s="421"/>
      <c r="D57" s="422"/>
      <c r="E57" s="423"/>
      <c r="F57" s="423"/>
      <c r="G57" s="423"/>
      <c r="H57" s="423"/>
      <c r="I57" s="424"/>
      <c r="J57" s="424"/>
      <c r="K57" s="424"/>
    </row>
    <row r="58" spans="3:11" ht="12.75">
      <c r="C58" s="425"/>
      <c r="D58" s="67"/>
      <c r="E58" s="67"/>
      <c r="F58" s="67"/>
      <c r="G58" s="67"/>
      <c r="H58" s="67"/>
      <c r="I58" s="424"/>
      <c r="J58" s="424"/>
      <c r="K58" s="424"/>
    </row>
    <row r="59" spans="3:11" ht="12">
      <c r="C59" s="421"/>
      <c r="D59" s="422"/>
      <c r="E59" s="423"/>
      <c r="F59" s="423"/>
      <c r="G59" s="423"/>
      <c r="H59" s="423"/>
      <c r="I59" s="424"/>
      <c r="J59" s="424"/>
      <c r="K59" s="424"/>
    </row>
    <row r="60" spans="3:11" ht="12">
      <c r="C60" s="421"/>
      <c r="D60" s="422"/>
      <c r="E60" s="423"/>
      <c r="F60" s="423"/>
      <c r="G60" s="423"/>
      <c r="H60" s="423"/>
      <c r="I60" s="424"/>
      <c r="J60" s="424"/>
      <c r="K60" s="424"/>
    </row>
    <row r="61" spans="3:11" ht="12">
      <c r="C61" s="421"/>
      <c r="D61" s="422"/>
      <c r="E61" s="423"/>
      <c r="F61" s="423"/>
      <c r="G61" s="423"/>
      <c r="H61" s="423"/>
      <c r="I61" s="424"/>
      <c r="J61" s="424"/>
      <c r="K61" s="424"/>
    </row>
    <row r="62" spans="3:11" ht="12">
      <c r="C62" s="421"/>
      <c r="D62" s="422"/>
      <c r="E62" s="423"/>
      <c r="F62" s="423"/>
      <c r="G62" s="423"/>
      <c r="H62" s="423"/>
      <c r="I62" s="424"/>
      <c r="J62" s="424"/>
      <c r="K62" s="424"/>
    </row>
    <row r="63" spans="3:11" ht="12">
      <c r="C63" s="421"/>
      <c r="D63" s="422"/>
      <c r="E63" s="423"/>
      <c r="F63" s="423"/>
      <c r="G63" s="423"/>
      <c r="H63" s="423"/>
      <c r="I63" s="424"/>
      <c r="J63" s="424"/>
      <c r="K63" s="424"/>
    </row>
    <row r="64" spans="3:11" ht="12">
      <c r="C64" s="421"/>
      <c r="D64" s="422"/>
      <c r="E64" s="423"/>
      <c r="F64" s="423"/>
      <c r="G64" s="423"/>
      <c r="H64" s="423"/>
      <c r="I64" s="424"/>
      <c r="J64" s="424"/>
      <c r="K64" s="424"/>
    </row>
    <row r="65" spans="3:11" ht="12.75">
      <c r="C65" s="426"/>
      <c r="D65" s="422"/>
      <c r="E65" s="423"/>
      <c r="F65" s="423"/>
      <c r="G65" s="423"/>
      <c r="H65" s="423"/>
      <c r="I65" s="424"/>
      <c r="J65" s="424"/>
      <c r="K65" s="424"/>
    </row>
    <row r="66" spans="3:11" ht="12.75">
      <c r="C66" s="426"/>
      <c r="D66" s="422"/>
      <c r="E66" s="423"/>
      <c r="F66" s="423"/>
      <c r="G66" s="423"/>
      <c r="H66" s="423"/>
      <c r="I66" s="424"/>
      <c r="J66" s="424"/>
      <c r="K66" s="424"/>
    </row>
    <row r="67" spans="3:11" ht="12.75">
      <c r="C67" s="426"/>
      <c r="D67" s="422"/>
      <c r="E67" s="423"/>
      <c r="F67" s="423"/>
      <c r="G67" s="423"/>
      <c r="H67" s="423"/>
      <c r="I67" s="424"/>
      <c r="J67" s="424"/>
      <c r="K67" s="424"/>
    </row>
    <row r="68" ht="12.75">
      <c r="C68" s="385"/>
    </row>
    <row r="69" ht="12.75">
      <c r="C69" s="385"/>
    </row>
    <row r="70" ht="12.75">
      <c r="C70" s="385"/>
    </row>
    <row r="71" ht="12.75">
      <c r="C71" s="385"/>
    </row>
    <row r="72" ht="12.75">
      <c r="C72" s="385"/>
    </row>
    <row r="73" ht="12.75">
      <c r="C73" s="385"/>
    </row>
    <row r="74" ht="12.75">
      <c r="C74" s="385"/>
    </row>
    <row r="75" ht="12.75">
      <c r="C75" s="385"/>
    </row>
    <row r="76" ht="12.75">
      <c r="C76" s="385"/>
    </row>
    <row r="77" ht="12.75">
      <c r="C77" s="385"/>
    </row>
    <row r="78" ht="12.75">
      <c r="C78" s="385"/>
    </row>
  </sheetData>
  <sheetProtection/>
  <mergeCells count="6">
    <mergeCell ref="B38:B49"/>
    <mergeCell ref="B29:B36"/>
    <mergeCell ref="B2:H2"/>
    <mergeCell ref="B9:B24"/>
    <mergeCell ref="B26:B27"/>
    <mergeCell ref="B5:B7"/>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3"/>
  <legacyDrawing r:id="rId2"/>
</worksheet>
</file>

<file path=xl/worksheets/sheet5.xml><?xml version="1.0" encoding="utf-8"?>
<worksheet xmlns="http://schemas.openxmlformats.org/spreadsheetml/2006/main" xmlns:r="http://schemas.openxmlformats.org/officeDocument/2006/relationships">
  <sheetPr codeName="Sheet4"/>
  <dimension ref="A1:AF176"/>
  <sheetViews>
    <sheetView showGridLines="0" view="pageBreakPreview" zoomScale="70" zoomScaleSheetLayoutView="70" zoomScalePageLayoutView="0" workbookViewId="0" topLeftCell="A79">
      <selection activeCell="B18" sqref="B18:E18"/>
    </sheetView>
  </sheetViews>
  <sheetFormatPr defaultColWidth="9.140625" defaultRowHeight="12.75"/>
  <cols>
    <col min="1" max="1" width="4.8515625" style="9" customWidth="1"/>
    <col min="2" max="2" width="54.7109375" style="9" customWidth="1"/>
    <col min="3" max="3" width="45.00390625" style="9" customWidth="1"/>
    <col min="4" max="4" width="14.421875" style="9" customWidth="1"/>
    <col min="5" max="5" width="13.8515625" style="9" customWidth="1"/>
    <col min="6" max="6" width="19.8515625" style="11" customWidth="1"/>
    <col min="7" max="7" width="12.8515625" style="11" customWidth="1"/>
    <col min="8" max="9" width="10.421875" style="11" bestFit="1" customWidth="1"/>
    <col min="10" max="10" width="11.00390625" style="11" bestFit="1" customWidth="1"/>
    <col min="11" max="29" width="10.421875" style="11" bestFit="1" customWidth="1"/>
    <col min="30" max="30" width="15.28125" style="11" customWidth="1"/>
    <col min="31" max="31" width="13.28125" style="11" customWidth="1"/>
    <col min="32" max="32" width="14.421875" style="11" customWidth="1"/>
    <col min="33" max="16384" width="9.140625" style="11" customWidth="1"/>
  </cols>
  <sheetData>
    <row r="1" spans="1:5" ht="27">
      <c r="A1" s="10"/>
      <c r="B1" s="81" t="s">
        <v>92</v>
      </c>
      <c r="D1" s="10"/>
      <c r="E1" s="10"/>
    </row>
    <row r="2" spans="1:25" ht="12.75">
      <c r="A2" s="10"/>
      <c r="C2" s="10"/>
      <c r="E2" s="82"/>
      <c r="Q2" s="10"/>
      <c r="R2" s="10"/>
      <c r="S2" s="10"/>
      <c r="T2" s="10"/>
      <c r="U2" s="10"/>
      <c r="V2" s="10"/>
      <c r="W2" s="10"/>
      <c r="X2" s="10"/>
      <c r="Y2" s="10"/>
    </row>
    <row r="3" spans="1:25" ht="12.75">
      <c r="A3" s="10"/>
      <c r="C3" s="10"/>
      <c r="E3" s="82"/>
      <c r="Q3" s="10"/>
      <c r="R3" s="10"/>
      <c r="S3" s="10"/>
      <c r="T3" s="10"/>
      <c r="U3" s="10"/>
      <c r="V3" s="10"/>
      <c r="W3" s="10"/>
      <c r="X3" s="10"/>
      <c r="Y3" s="10"/>
    </row>
    <row r="4" spans="1:25" ht="12.75">
      <c r="A4" s="10"/>
      <c r="C4" s="10"/>
      <c r="E4" s="82"/>
      <c r="Q4" s="10"/>
      <c r="R4" s="10"/>
      <c r="S4" s="10"/>
      <c r="T4" s="10"/>
      <c r="U4" s="10"/>
      <c r="V4" s="10"/>
      <c r="W4" s="10"/>
      <c r="X4" s="10"/>
      <c r="Y4" s="10"/>
    </row>
    <row r="5" spans="1:6" ht="18" customHeight="1">
      <c r="A5" s="10"/>
      <c r="B5" s="637" t="s">
        <v>29</v>
      </c>
      <c r="C5" s="638"/>
      <c r="D5" s="638"/>
      <c r="E5" s="638"/>
      <c r="F5" s="245"/>
    </row>
    <row r="6" spans="1:6" ht="73.5" customHeight="1">
      <c r="A6" s="10"/>
      <c r="B6" s="580" t="s">
        <v>26</v>
      </c>
      <c r="C6" s="581"/>
      <c r="D6" s="581"/>
      <c r="E6" s="581"/>
      <c r="F6" s="246"/>
    </row>
    <row r="7" spans="1:6" ht="131.25" customHeight="1">
      <c r="A7" s="10"/>
      <c r="B7" s="580" t="s">
        <v>21</v>
      </c>
      <c r="C7" s="581"/>
      <c r="D7" s="581"/>
      <c r="E7" s="581"/>
      <c r="F7" s="246"/>
    </row>
    <row r="8" spans="1:6" ht="81.75" customHeight="1">
      <c r="A8" s="10"/>
      <c r="B8" s="580" t="s">
        <v>27</v>
      </c>
      <c r="C8" s="581"/>
      <c r="D8" s="581"/>
      <c r="E8" s="581"/>
      <c r="F8" s="246"/>
    </row>
    <row r="9" spans="1:6" ht="15">
      <c r="A9" s="10"/>
      <c r="B9" s="580"/>
      <c r="C9" s="581"/>
      <c r="D9" s="581"/>
      <c r="E9" s="581"/>
      <c r="F9" s="246"/>
    </row>
    <row r="10" spans="1:6" ht="25.5" customHeight="1">
      <c r="A10" s="10"/>
      <c r="B10" s="635" t="s">
        <v>28</v>
      </c>
      <c r="C10" s="636"/>
      <c r="D10" s="636"/>
      <c r="E10" s="636"/>
      <c r="F10" s="246"/>
    </row>
    <row r="11" spans="1:6" ht="100.5" customHeight="1">
      <c r="A11" s="10"/>
      <c r="B11" s="580" t="s">
        <v>115</v>
      </c>
      <c r="C11" s="581"/>
      <c r="D11" s="581"/>
      <c r="E11" s="581"/>
      <c r="F11" s="246"/>
    </row>
    <row r="12" spans="1:6" ht="69.75" customHeight="1">
      <c r="A12" s="10"/>
      <c r="B12" s="580" t="s">
        <v>30</v>
      </c>
      <c r="C12" s="581"/>
      <c r="D12" s="581"/>
      <c r="E12" s="581"/>
      <c r="F12" s="246"/>
    </row>
    <row r="13" spans="2:6" ht="138.75" customHeight="1">
      <c r="B13" s="580" t="s">
        <v>119</v>
      </c>
      <c r="C13" s="581"/>
      <c r="D13" s="581"/>
      <c r="E13" s="581"/>
      <c r="F13" s="246"/>
    </row>
    <row r="14" spans="1:6" ht="81" customHeight="1">
      <c r="A14" s="10"/>
      <c r="B14" s="580" t="s">
        <v>22</v>
      </c>
      <c r="C14" s="634"/>
      <c r="D14" s="634"/>
      <c r="E14" s="634"/>
      <c r="F14" s="246"/>
    </row>
    <row r="15" spans="1:6" ht="51" customHeight="1">
      <c r="A15" s="10"/>
      <c r="B15" s="580" t="s">
        <v>31</v>
      </c>
      <c r="C15" s="581"/>
      <c r="D15" s="581"/>
      <c r="E15" s="581"/>
      <c r="F15" s="246"/>
    </row>
    <row r="16" spans="1:6" ht="103.5" customHeight="1">
      <c r="A16" s="10"/>
      <c r="B16" s="580" t="s">
        <v>23</v>
      </c>
      <c r="C16" s="581"/>
      <c r="D16" s="581"/>
      <c r="E16" s="581"/>
      <c r="F16" s="246"/>
    </row>
    <row r="17" spans="1:6" ht="15">
      <c r="A17" s="10"/>
      <c r="B17" s="580"/>
      <c r="C17" s="581"/>
      <c r="D17" s="581"/>
      <c r="E17" s="581"/>
      <c r="F17" s="246"/>
    </row>
    <row r="18" spans="1:6" ht="15.75" customHeight="1">
      <c r="A18" s="10"/>
      <c r="B18" s="635" t="s">
        <v>114</v>
      </c>
      <c r="C18" s="636"/>
      <c r="D18" s="636"/>
      <c r="E18" s="636"/>
      <c r="F18" s="246"/>
    </row>
    <row r="19" spans="1:6" ht="91.5" customHeight="1">
      <c r="A19" s="10"/>
      <c r="B19" s="580" t="s">
        <v>118</v>
      </c>
      <c r="C19" s="581"/>
      <c r="D19" s="581"/>
      <c r="E19" s="581"/>
      <c r="F19" s="246"/>
    </row>
    <row r="20" spans="1:6" ht="30.75" customHeight="1">
      <c r="A20" s="10"/>
      <c r="B20" s="580" t="s">
        <v>116</v>
      </c>
      <c r="C20" s="581"/>
      <c r="D20" s="581"/>
      <c r="E20" s="581"/>
      <c r="F20" s="246"/>
    </row>
    <row r="21" spans="1:6" ht="15">
      <c r="A21" s="10"/>
      <c r="B21" s="580"/>
      <c r="C21" s="581"/>
      <c r="D21" s="581"/>
      <c r="E21" s="581"/>
      <c r="F21" s="246"/>
    </row>
    <row r="22" spans="1:6" ht="17.25" customHeight="1">
      <c r="A22" s="10"/>
      <c r="B22" s="635" t="s">
        <v>117</v>
      </c>
      <c r="C22" s="636"/>
      <c r="D22" s="636"/>
      <c r="E22" s="636"/>
      <c r="F22" s="246"/>
    </row>
    <row r="23" spans="1:6" ht="153" customHeight="1">
      <c r="A23" s="10"/>
      <c r="B23" s="580" t="s">
        <v>0</v>
      </c>
      <c r="C23" s="581"/>
      <c r="D23" s="581"/>
      <c r="E23" s="581"/>
      <c r="F23" s="246"/>
    </row>
    <row r="24" spans="1:6" ht="101.25" customHeight="1">
      <c r="A24" s="10"/>
      <c r="B24" s="580" t="s">
        <v>162</v>
      </c>
      <c r="C24" s="634"/>
      <c r="D24" s="634"/>
      <c r="E24" s="634"/>
      <c r="F24" s="246"/>
    </row>
    <row r="25" spans="1:6" ht="45.75" customHeight="1">
      <c r="A25" s="10"/>
      <c r="B25" s="580" t="s">
        <v>24</v>
      </c>
      <c r="C25" s="634"/>
      <c r="D25" s="634"/>
      <c r="E25" s="634"/>
      <c r="F25" s="246"/>
    </row>
    <row r="26" spans="1:6" ht="91.5" customHeight="1">
      <c r="A26" s="10"/>
      <c r="B26" s="580" t="s">
        <v>3</v>
      </c>
      <c r="C26" s="581"/>
      <c r="D26" s="581"/>
      <c r="E26" s="581"/>
      <c r="F26" s="246"/>
    </row>
    <row r="27" spans="1:6" ht="46.5" customHeight="1">
      <c r="A27" s="10"/>
      <c r="B27" s="580" t="s">
        <v>25</v>
      </c>
      <c r="C27" s="581"/>
      <c r="D27" s="581"/>
      <c r="E27" s="581"/>
      <c r="F27" s="246"/>
    </row>
    <row r="28" spans="1:6" ht="15">
      <c r="A28" s="10"/>
      <c r="B28" s="586"/>
      <c r="C28" s="587"/>
      <c r="D28" s="587"/>
      <c r="E28" s="587"/>
      <c r="F28" s="247"/>
    </row>
    <row r="29" spans="1:6" ht="17.25" customHeight="1">
      <c r="A29" s="10"/>
      <c r="B29" s="637" t="s">
        <v>91</v>
      </c>
      <c r="C29" s="641"/>
      <c r="D29" s="641"/>
      <c r="E29" s="641"/>
      <c r="F29" s="245"/>
    </row>
    <row r="30" spans="1:6" ht="66" customHeight="1">
      <c r="A30" s="10"/>
      <c r="B30" s="580" t="s">
        <v>1</v>
      </c>
      <c r="C30" s="581"/>
      <c r="D30" s="581"/>
      <c r="E30" s="581"/>
      <c r="F30" s="246"/>
    </row>
    <row r="31" spans="1:6" ht="75.75" customHeight="1">
      <c r="A31" s="10"/>
      <c r="B31" s="580" t="s">
        <v>2</v>
      </c>
      <c r="C31" s="581"/>
      <c r="D31" s="581"/>
      <c r="E31" s="581"/>
      <c r="F31" s="246"/>
    </row>
    <row r="32" spans="1:6" ht="15">
      <c r="A32" s="10"/>
      <c r="B32" s="639"/>
      <c r="C32" s="640"/>
      <c r="D32" s="640"/>
      <c r="E32" s="640"/>
      <c r="F32" s="247"/>
    </row>
    <row r="33" spans="1:25" ht="12.75">
      <c r="A33" s="10"/>
      <c r="C33" s="10"/>
      <c r="E33" s="82"/>
      <c r="Q33" s="10"/>
      <c r="R33" s="10"/>
      <c r="S33" s="10"/>
      <c r="T33" s="10"/>
      <c r="U33" s="10"/>
      <c r="V33" s="10"/>
      <c r="W33" s="10"/>
      <c r="X33" s="10"/>
      <c r="Y33" s="10"/>
    </row>
    <row r="34" spans="1:25" ht="12.75">
      <c r="A34" s="10"/>
      <c r="C34" s="10"/>
      <c r="E34" s="82"/>
      <c r="Q34" s="10"/>
      <c r="R34" s="10"/>
      <c r="S34" s="10"/>
      <c r="T34" s="10"/>
      <c r="U34" s="10"/>
      <c r="V34" s="10"/>
      <c r="W34" s="10"/>
      <c r="X34" s="10"/>
      <c r="Y34" s="10"/>
    </row>
    <row r="35" spans="1:25" ht="12.75">
      <c r="A35" s="10"/>
      <c r="C35" s="10"/>
      <c r="E35" s="82"/>
      <c r="Q35" s="10"/>
      <c r="R35" s="10"/>
      <c r="S35" s="10"/>
      <c r="T35" s="10"/>
      <c r="U35" s="10"/>
      <c r="V35" s="10"/>
      <c r="W35" s="10"/>
      <c r="X35" s="10"/>
      <c r="Y35" s="10"/>
    </row>
    <row r="36" spans="1:25" ht="12.75">
      <c r="A36" s="10"/>
      <c r="C36" s="10"/>
      <c r="E36" s="82"/>
      <c r="J36" s="504" t="s">
        <v>42</v>
      </c>
      <c r="K36" s="505"/>
      <c r="Q36" s="10"/>
      <c r="R36" s="10"/>
      <c r="S36" s="10"/>
      <c r="T36" s="10"/>
      <c r="U36" s="10"/>
      <c r="V36" s="10"/>
      <c r="W36" s="10"/>
      <c r="X36" s="10"/>
      <c r="Y36" s="10"/>
    </row>
    <row r="37" spans="1:25" ht="15.75">
      <c r="A37" s="10"/>
      <c r="B37" s="18" t="s">
        <v>108</v>
      </c>
      <c r="C37" s="2"/>
      <c r="E37" s="82"/>
      <c r="J37" s="249" t="s">
        <v>161</v>
      </c>
      <c r="K37" s="17">
        <v>0.035</v>
      </c>
      <c r="Q37" s="10"/>
      <c r="R37" s="10"/>
      <c r="S37" s="10"/>
      <c r="T37" s="10"/>
      <c r="U37" s="10"/>
      <c r="V37" s="10"/>
      <c r="W37" s="10"/>
      <c r="X37" s="10"/>
      <c r="Y37" s="10"/>
    </row>
    <row r="38" spans="1:25" ht="15.75">
      <c r="A38" s="10"/>
      <c r="B38" s="18" t="s">
        <v>109</v>
      </c>
      <c r="C38" s="2"/>
      <c r="E38" s="82"/>
      <c r="Q38" s="10"/>
      <c r="R38" s="10"/>
      <c r="S38" s="10"/>
      <c r="T38" s="10"/>
      <c r="U38" s="10"/>
      <c r="V38" s="10"/>
      <c r="W38" s="10"/>
      <c r="X38" s="10"/>
      <c r="Y38" s="10"/>
    </row>
    <row r="39" spans="1:25" ht="18">
      <c r="A39" s="10"/>
      <c r="B39" s="21" t="s">
        <v>107</v>
      </c>
      <c r="C39" s="1" t="s">
        <v>104</v>
      </c>
      <c r="E39" s="82"/>
      <c r="Q39" s="10"/>
      <c r="R39" s="10"/>
      <c r="S39" s="10"/>
      <c r="T39" s="10"/>
      <c r="U39" s="10"/>
      <c r="V39" s="10"/>
      <c r="W39" s="10"/>
      <c r="X39" s="10"/>
      <c r="Y39" s="10"/>
    </row>
    <row r="40" spans="1:25" ht="15.75">
      <c r="A40" s="10"/>
      <c r="B40" s="21" t="s">
        <v>111</v>
      </c>
      <c r="C40" s="3"/>
      <c r="E40" s="82"/>
      <c r="Q40" s="10"/>
      <c r="R40" s="10"/>
      <c r="S40" s="10"/>
      <c r="T40" s="10"/>
      <c r="U40" s="10"/>
      <c r="V40" s="10"/>
      <c r="W40" s="10"/>
      <c r="X40" s="10"/>
      <c r="Y40" s="10"/>
    </row>
    <row r="41" spans="1:25" ht="15.75">
      <c r="A41" s="10"/>
      <c r="B41" s="21" t="s">
        <v>110</v>
      </c>
      <c r="C41" s="22"/>
      <c r="E41" s="82"/>
      <c r="Q41" s="10"/>
      <c r="R41" s="10"/>
      <c r="S41" s="10"/>
      <c r="T41" s="10"/>
      <c r="U41" s="10"/>
      <c r="V41" s="10"/>
      <c r="W41" s="10"/>
      <c r="X41" s="10"/>
      <c r="Y41" s="10"/>
    </row>
    <row r="42" spans="1:25" ht="15.75">
      <c r="A42" s="10"/>
      <c r="B42" s="21" t="s">
        <v>112</v>
      </c>
      <c r="C42" s="22"/>
      <c r="E42" s="82"/>
      <c r="Q42" s="10"/>
      <c r="R42" s="10"/>
      <c r="S42" s="10"/>
      <c r="T42" s="10"/>
      <c r="U42" s="10"/>
      <c r="V42" s="10"/>
      <c r="W42" s="10"/>
      <c r="X42" s="10"/>
      <c r="Y42" s="10"/>
    </row>
    <row r="43" spans="1:25" ht="12.75">
      <c r="A43" s="10"/>
      <c r="C43" s="10"/>
      <c r="E43" s="82"/>
      <c r="Q43" s="10"/>
      <c r="R43" s="10"/>
      <c r="S43" s="10"/>
      <c r="T43" s="10"/>
      <c r="U43" s="10"/>
      <c r="V43" s="10"/>
      <c r="W43" s="10"/>
      <c r="X43" s="10"/>
      <c r="Y43" s="10"/>
    </row>
    <row r="44" spans="1:25" ht="12.75">
      <c r="A44" s="10"/>
      <c r="C44" s="10"/>
      <c r="E44" s="82"/>
      <c r="Q44" s="10"/>
      <c r="R44" s="10"/>
      <c r="S44" s="10"/>
      <c r="T44" s="10"/>
      <c r="U44" s="10"/>
      <c r="V44" s="10"/>
      <c r="W44" s="10"/>
      <c r="X44" s="10"/>
      <c r="Y44" s="10"/>
    </row>
    <row r="45" spans="1:25" ht="12.75">
      <c r="A45" s="10"/>
      <c r="C45" s="10"/>
      <c r="E45" s="82"/>
      <c r="Q45" s="10"/>
      <c r="R45" s="10"/>
      <c r="S45" s="10"/>
      <c r="T45" s="10"/>
      <c r="U45" s="10"/>
      <c r="V45" s="10"/>
      <c r="W45" s="10"/>
      <c r="X45" s="10"/>
      <c r="Y45" s="10"/>
    </row>
    <row r="46" spans="1:25" ht="12.75">
      <c r="A46" s="10"/>
      <c r="C46" s="10"/>
      <c r="E46" s="82"/>
      <c r="Q46" s="10"/>
      <c r="R46" s="10"/>
      <c r="S46" s="10"/>
      <c r="T46" s="10"/>
      <c r="U46" s="10"/>
      <c r="V46" s="10"/>
      <c r="W46" s="10"/>
      <c r="X46" s="10"/>
      <c r="Y46" s="10"/>
    </row>
    <row r="47" spans="1:25" s="23" customFormat="1" ht="15.75" customHeight="1" thickBot="1">
      <c r="A47" s="10"/>
      <c r="B47" s="8"/>
      <c r="C47" s="10"/>
      <c r="D47" s="10"/>
      <c r="E47" s="82"/>
      <c r="Q47" s="10"/>
      <c r="R47" s="10"/>
      <c r="S47" s="10"/>
      <c r="T47" s="10"/>
      <c r="U47" s="10"/>
      <c r="V47" s="10"/>
      <c r="W47" s="10"/>
      <c r="X47" s="10"/>
      <c r="Y47" s="10"/>
    </row>
    <row r="48" spans="1:32" s="23" customFormat="1" ht="13.5" customHeight="1">
      <c r="A48" s="9"/>
      <c r="B48" s="582" t="s">
        <v>141</v>
      </c>
      <c r="C48" s="584" t="s">
        <v>20</v>
      </c>
      <c r="D48" s="551" t="s">
        <v>43</v>
      </c>
      <c r="E48" s="552"/>
      <c r="F48" s="553"/>
      <c r="G48" s="551" t="s">
        <v>75</v>
      </c>
      <c r="H48" s="552"/>
      <c r="I48" s="553"/>
      <c r="J48" s="554" t="s">
        <v>57</v>
      </c>
      <c r="K48" s="552"/>
      <c r="L48" s="552"/>
      <c r="M48" s="552"/>
      <c r="N48" s="552"/>
      <c r="O48" s="552"/>
      <c r="P48" s="552"/>
      <c r="Q48" s="552"/>
      <c r="R48" s="552"/>
      <c r="S48" s="552"/>
      <c r="T48" s="552"/>
      <c r="U48" s="552"/>
      <c r="V48" s="552"/>
      <c r="W48" s="552"/>
      <c r="X48" s="552"/>
      <c r="Y48" s="552"/>
      <c r="Z48" s="552"/>
      <c r="AA48" s="552"/>
      <c r="AB48" s="552"/>
      <c r="AC48" s="553"/>
      <c r="AD48" s="515" t="s">
        <v>131</v>
      </c>
      <c r="AE48" s="515" t="s">
        <v>130</v>
      </c>
      <c r="AF48" s="515" t="s">
        <v>129</v>
      </c>
    </row>
    <row r="49" spans="1:32" s="23" customFormat="1" ht="45">
      <c r="A49" s="10"/>
      <c r="B49" s="583"/>
      <c r="C49" s="585"/>
      <c r="D49" s="25" t="s">
        <v>44</v>
      </c>
      <c r="E49" s="26" t="s">
        <v>50</v>
      </c>
      <c r="F49" s="27" t="s">
        <v>49</v>
      </c>
      <c r="G49" s="25" t="s">
        <v>45</v>
      </c>
      <c r="H49" s="28" t="s">
        <v>46</v>
      </c>
      <c r="I49" s="29" t="s">
        <v>47</v>
      </c>
      <c r="J49" s="30">
        <v>1</v>
      </c>
      <c r="K49" s="31">
        <v>2</v>
      </c>
      <c r="L49" s="31">
        <v>3</v>
      </c>
      <c r="M49" s="31">
        <v>4</v>
      </c>
      <c r="N49" s="31">
        <v>5</v>
      </c>
      <c r="O49" s="31">
        <v>6</v>
      </c>
      <c r="P49" s="31">
        <v>7</v>
      </c>
      <c r="Q49" s="31">
        <v>8</v>
      </c>
      <c r="R49" s="31">
        <v>9</v>
      </c>
      <c r="S49" s="31">
        <v>10</v>
      </c>
      <c r="T49" s="31">
        <v>11</v>
      </c>
      <c r="U49" s="31">
        <v>12</v>
      </c>
      <c r="V49" s="31">
        <v>13</v>
      </c>
      <c r="W49" s="31">
        <v>14</v>
      </c>
      <c r="X49" s="31">
        <v>15</v>
      </c>
      <c r="Y49" s="31">
        <v>16</v>
      </c>
      <c r="Z49" s="31">
        <v>17</v>
      </c>
      <c r="AA49" s="31">
        <v>18</v>
      </c>
      <c r="AB49" s="31">
        <v>19</v>
      </c>
      <c r="AC49" s="29">
        <v>20</v>
      </c>
      <c r="AD49" s="541"/>
      <c r="AE49" s="541"/>
      <c r="AF49" s="541"/>
    </row>
    <row r="50" spans="1:32" s="23" customFormat="1" ht="26.25" customHeight="1">
      <c r="A50" s="84" t="str">
        <f>+B50&amp;" - "&amp;C50</f>
        <v>Intensive weed control - Expected to occur over the first 5 years</v>
      </c>
      <c r="B50" s="4" t="s">
        <v>51</v>
      </c>
      <c r="C50" s="4" t="s">
        <v>61</v>
      </c>
      <c r="D50" s="5">
        <v>4</v>
      </c>
      <c r="E50" s="5">
        <v>5</v>
      </c>
      <c r="F50" s="6"/>
      <c r="G50" s="7">
        <v>20000</v>
      </c>
      <c r="H50" s="7">
        <v>20000</v>
      </c>
      <c r="I50" s="32">
        <f aca="true" t="shared" si="0" ref="I50:I56">IF(ISERROR(AVERAGE(G50:H50)),0,AVERAGE(G50:H50))</f>
        <v>20000</v>
      </c>
      <c r="J50" s="33">
        <f aca="true" t="shared" si="1" ref="J50:J56">IF(OR(ISBLANK($D50),$D50&gt;J$49),0,IF(AND(NOT(ISBLANK($E50)),J$49&gt;$E50),0,IF(MOD((J$49-$D50),MAX($F50,1))=0,$I50,0)))</f>
        <v>0</v>
      </c>
      <c r="K50" s="34">
        <f aca="true" t="shared" si="2" ref="K50:Z56">IF(OR(ISBLANK($D50),$D50&gt;K$49),0,IF(AND(NOT(ISBLANK($E50)),K$49&gt;$E50),0,IF(MOD((K$49-$D50),MAX($F50,1))=0,$I50,0)))</f>
        <v>0</v>
      </c>
      <c r="L50" s="34">
        <f t="shared" si="2"/>
        <v>0</v>
      </c>
      <c r="M50" s="34">
        <f t="shared" si="2"/>
        <v>20000</v>
      </c>
      <c r="N50" s="34">
        <f t="shared" si="2"/>
        <v>20000</v>
      </c>
      <c r="O50" s="34">
        <f t="shared" si="2"/>
        <v>0</v>
      </c>
      <c r="P50" s="34">
        <f t="shared" si="2"/>
        <v>0</v>
      </c>
      <c r="Q50" s="34">
        <f t="shared" si="2"/>
        <v>0</v>
      </c>
      <c r="R50" s="34">
        <f t="shared" si="2"/>
        <v>0</v>
      </c>
      <c r="S50" s="34">
        <f t="shared" si="2"/>
        <v>0</v>
      </c>
      <c r="T50" s="34">
        <f t="shared" si="2"/>
        <v>0</v>
      </c>
      <c r="U50" s="34">
        <f t="shared" si="2"/>
        <v>0</v>
      </c>
      <c r="V50" s="34">
        <f t="shared" si="2"/>
        <v>0</v>
      </c>
      <c r="W50" s="34">
        <f t="shared" si="2"/>
        <v>0</v>
      </c>
      <c r="X50" s="34">
        <f t="shared" si="2"/>
        <v>0</v>
      </c>
      <c r="Y50" s="34">
        <f t="shared" si="2"/>
        <v>0</v>
      </c>
      <c r="Z50" s="34">
        <f t="shared" si="2"/>
        <v>0</v>
      </c>
      <c r="AA50" s="34">
        <f aca="true" t="shared" si="3" ref="AA50:AC56">IF(OR(ISBLANK($D50),$D50&gt;AA$49),0,IF(AND(NOT(ISBLANK($E50)),AA$49&gt;$E50),0,IF(MOD((AA$49-$D50),MAX($F50,1))=0,$I50,0)))</f>
        <v>0</v>
      </c>
      <c r="AB50" s="34">
        <f t="shared" si="3"/>
        <v>0</v>
      </c>
      <c r="AC50" s="35">
        <f t="shared" si="3"/>
        <v>0</v>
      </c>
      <c r="AD50" s="36">
        <f aca="true" t="shared" si="4" ref="AD50:AD56">+SUMPRODUCT(J50:AC50,$J$66:$AC$66)</f>
        <v>35467.6986673319</v>
      </c>
      <c r="AE50" s="36">
        <f aca="true" t="shared" si="5" ref="AE50:AE56">(IF(ISBLANK(D50),0,IF(E50,0,((1+$K$37)^MOD($AC$49-D50,MAX(F50,1)))*((1+$K$37)^-$AC$49)*I50/((1+$K$37)^(MAX(F50,1))-1))))*(1+$K$37)</f>
        <v>0</v>
      </c>
      <c r="AF50" s="36">
        <f>+AD50+AE50</f>
        <v>35467.6986673319</v>
      </c>
    </row>
    <row r="51" spans="1:32" s="23" customFormat="1" ht="47.25" customHeight="1">
      <c r="A51" s="84" t="str">
        <f aca="true" t="shared" si="6" ref="A51:A62">+B51&amp;" - "&amp;C51</f>
        <v>Ongoing weed control - Estimated annual figure to control weeds from year 6 onwards</v>
      </c>
      <c r="B51" s="4" t="s">
        <v>52</v>
      </c>
      <c r="C51" s="4" t="s">
        <v>62</v>
      </c>
      <c r="D51" s="5">
        <v>6</v>
      </c>
      <c r="E51" s="5">
        <v>7</v>
      </c>
      <c r="F51" s="6"/>
      <c r="G51" s="7">
        <v>1000</v>
      </c>
      <c r="H51" s="7">
        <v>5000</v>
      </c>
      <c r="I51" s="32">
        <f t="shared" si="0"/>
        <v>3000</v>
      </c>
      <c r="J51" s="33">
        <f t="shared" si="1"/>
        <v>0</v>
      </c>
      <c r="K51" s="34">
        <f t="shared" si="2"/>
        <v>0</v>
      </c>
      <c r="L51" s="34">
        <f t="shared" si="2"/>
        <v>0</v>
      </c>
      <c r="M51" s="34">
        <f t="shared" si="2"/>
        <v>0</v>
      </c>
      <c r="N51" s="34">
        <f t="shared" si="2"/>
        <v>0</v>
      </c>
      <c r="O51" s="34">
        <f t="shared" si="2"/>
        <v>3000</v>
      </c>
      <c r="P51" s="34">
        <f t="shared" si="2"/>
        <v>3000</v>
      </c>
      <c r="Q51" s="34">
        <f t="shared" si="2"/>
        <v>0</v>
      </c>
      <c r="R51" s="34">
        <f t="shared" si="2"/>
        <v>0</v>
      </c>
      <c r="S51" s="34">
        <f t="shared" si="2"/>
        <v>0</v>
      </c>
      <c r="T51" s="34">
        <f t="shared" si="2"/>
        <v>0</v>
      </c>
      <c r="U51" s="34">
        <f t="shared" si="2"/>
        <v>0</v>
      </c>
      <c r="V51" s="34">
        <f t="shared" si="2"/>
        <v>0</v>
      </c>
      <c r="W51" s="34">
        <f t="shared" si="2"/>
        <v>0</v>
      </c>
      <c r="X51" s="34">
        <f t="shared" si="2"/>
        <v>0</v>
      </c>
      <c r="Y51" s="34">
        <f t="shared" si="2"/>
        <v>0</v>
      </c>
      <c r="Z51" s="34">
        <f t="shared" si="2"/>
        <v>0</v>
      </c>
      <c r="AA51" s="34">
        <f t="shared" si="3"/>
        <v>0</v>
      </c>
      <c r="AB51" s="34">
        <f t="shared" si="3"/>
        <v>0</v>
      </c>
      <c r="AC51" s="35">
        <f t="shared" si="3"/>
        <v>0</v>
      </c>
      <c r="AD51" s="36">
        <f t="shared" si="4"/>
        <v>4966.421433498832</v>
      </c>
      <c r="AE51" s="36">
        <f t="shared" si="5"/>
        <v>0</v>
      </c>
      <c r="AF51" s="36">
        <f aca="true" t="shared" si="7" ref="AF51:AF56">+AD51+AE51</f>
        <v>4966.421433498832</v>
      </c>
    </row>
    <row r="52" spans="1:32" s="23" customFormat="1" ht="60.75" customHeight="1">
      <c r="A52" s="84" t="str">
        <f t="shared" si="6"/>
        <v>Intensive vertebrate pest control - Expected to occur over the first 5 years</v>
      </c>
      <c r="B52" s="4" t="s">
        <v>53</v>
      </c>
      <c r="C52" s="4" t="s">
        <v>61</v>
      </c>
      <c r="D52" s="5">
        <v>1</v>
      </c>
      <c r="E52" s="5">
        <v>5</v>
      </c>
      <c r="F52" s="6"/>
      <c r="G52" s="7">
        <v>50000</v>
      </c>
      <c r="H52" s="7"/>
      <c r="I52" s="32">
        <f t="shared" si="0"/>
        <v>50000</v>
      </c>
      <c r="J52" s="33">
        <f t="shared" si="1"/>
        <v>50000</v>
      </c>
      <c r="K52" s="34">
        <f t="shared" si="2"/>
        <v>50000</v>
      </c>
      <c r="L52" s="34">
        <f t="shared" si="2"/>
        <v>50000</v>
      </c>
      <c r="M52" s="34">
        <f t="shared" si="2"/>
        <v>50000</v>
      </c>
      <c r="N52" s="34">
        <f t="shared" si="2"/>
        <v>50000</v>
      </c>
      <c r="O52" s="34">
        <f t="shared" si="2"/>
        <v>0</v>
      </c>
      <c r="P52" s="34">
        <f t="shared" si="2"/>
        <v>0</v>
      </c>
      <c r="Q52" s="34">
        <f t="shared" si="2"/>
        <v>0</v>
      </c>
      <c r="R52" s="34">
        <f t="shared" si="2"/>
        <v>0</v>
      </c>
      <c r="S52" s="34">
        <f t="shared" si="2"/>
        <v>0</v>
      </c>
      <c r="T52" s="34">
        <f t="shared" si="2"/>
        <v>0</v>
      </c>
      <c r="U52" s="34">
        <f t="shared" si="2"/>
        <v>0</v>
      </c>
      <c r="V52" s="34">
        <f t="shared" si="2"/>
        <v>0</v>
      </c>
      <c r="W52" s="34">
        <f t="shared" si="2"/>
        <v>0</v>
      </c>
      <c r="X52" s="34">
        <f t="shared" si="2"/>
        <v>0</v>
      </c>
      <c r="Y52" s="34">
        <f t="shared" si="2"/>
        <v>0</v>
      </c>
      <c r="Z52" s="34">
        <f t="shared" si="2"/>
        <v>0</v>
      </c>
      <c r="AA52" s="34">
        <f t="shared" si="3"/>
        <v>0</v>
      </c>
      <c r="AB52" s="34">
        <f t="shared" si="3"/>
        <v>0</v>
      </c>
      <c r="AC52" s="35">
        <f t="shared" si="3"/>
        <v>0</v>
      </c>
      <c r="AD52" s="36">
        <f t="shared" si="4"/>
        <v>233653.96043061127</v>
      </c>
      <c r="AE52" s="36">
        <f t="shared" si="5"/>
        <v>0</v>
      </c>
      <c r="AF52" s="36">
        <f t="shared" si="7"/>
        <v>233653.96043061127</v>
      </c>
    </row>
    <row r="53" spans="1:32" s="23" customFormat="1" ht="30">
      <c r="A53" s="84" t="str">
        <f t="shared" si="6"/>
        <v>Ongoing vertebrate pest control - Estimated annual figure to control pests from year 6 onwards</v>
      </c>
      <c r="B53" s="4" t="s">
        <v>54</v>
      </c>
      <c r="C53" s="4" t="s">
        <v>63</v>
      </c>
      <c r="D53" s="5">
        <v>6</v>
      </c>
      <c r="E53" s="5"/>
      <c r="F53" s="6">
        <v>1</v>
      </c>
      <c r="G53" s="7"/>
      <c r="H53" s="7">
        <v>5000</v>
      </c>
      <c r="I53" s="32">
        <f t="shared" si="0"/>
        <v>5000</v>
      </c>
      <c r="J53" s="33">
        <f t="shared" si="1"/>
        <v>0</v>
      </c>
      <c r="K53" s="34">
        <f t="shared" si="2"/>
        <v>0</v>
      </c>
      <c r="L53" s="34">
        <f t="shared" si="2"/>
        <v>0</v>
      </c>
      <c r="M53" s="34">
        <f t="shared" si="2"/>
        <v>0</v>
      </c>
      <c r="N53" s="34">
        <f t="shared" si="2"/>
        <v>0</v>
      </c>
      <c r="O53" s="34">
        <f t="shared" si="2"/>
        <v>5000</v>
      </c>
      <c r="P53" s="34">
        <f t="shared" si="2"/>
        <v>5000</v>
      </c>
      <c r="Q53" s="34">
        <f t="shared" si="2"/>
        <v>5000</v>
      </c>
      <c r="R53" s="34">
        <f t="shared" si="2"/>
        <v>5000</v>
      </c>
      <c r="S53" s="34">
        <f t="shared" si="2"/>
        <v>5000</v>
      </c>
      <c r="T53" s="34">
        <f t="shared" si="2"/>
        <v>5000</v>
      </c>
      <c r="U53" s="34">
        <f t="shared" si="2"/>
        <v>5000</v>
      </c>
      <c r="V53" s="34">
        <f t="shared" si="2"/>
        <v>5000</v>
      </c>
      <c r="W53" s="34">
        <f t="shared" si="2"/>
        <v>5000</v>
      </c>
      <c r="X53" s="34">
        <f t="shared" si="2"/>
        <v>5000</v>
      </c>
      <c r="Y53" s="34">
        <f t="shared" si="2"/>
        <v>5000</v>
      </c>
      <c r="Z53" s="34">
        <f t="shared" si="2"/>
        <v>5000</v>
      </c>
      <c r="AA53" s="34">
        <f t="shared" si="3"/>
        <v>5000</v>
      </c>
      <c r="AB53" s="34">
        <f t="shared" si="3"/>
        <v>5000</v>
      </c>
      <c r="AC53" s="35">
        <f t="shared" si="3"/>
        <v>5000</v>
      </c>
      <c r="AD53" s="36">
        <f t="shared" si="4"/>
        <v>50183.79104454203</v>
      </c>
      <c r="AE53" s="36">
        <f t="shared" si="5"/>
        <v>74307.95576954003</v>
      </c>
      <c r="AF53" s="36">
        <f t="shared" si="7"/>
        <v>124491.74681408206</v>
      </c>
    </row>
    <row r="54" spans="1:32" s="23" customFormat="1" ht="30">
      <c r="A54" s="84" t="str">
        <f t="shared" si="6"/>
        <v>Ecological fire management - Expected to occur every 10 years, starting at year 10</v>
      </c>
      <c r="B54" s="4" t="s">
        <v>48</v>
      </c>
      <c r="C54" s="4" t="s">
        <v>64</v>
      </c>
      <c r="D54" s="5">
        <v>10</v>
      </c>
      <c r="E54" s="5"/>
      <c r="F54" s="6">
        <v>10</v>
      </c>
      <c r="G54" s="7">
        <v>1</v>
      </c>
      <c r="H54" s="7">
        <v>2</v>
      </c>
      <c r="I54" s="32">
        <f t="shared" si="0"/>
        <v>1.5</v>
      </c>
      <c r="J54" s="33">
        <f t="shared" si="1"/>
        <v>0</v>
      </c>
      <c r="K54" s="34">
        <f t="shared" si="2"/>
        <v>0</v>
      </c>
      <c r="L54" s="34">
        <f t="shared" si="2"/>
        <v>0</v>
      </c>
      <c r="M54" s="34">
        <f t="shared" si="2"/>
        <v>0</v>
      </c>
      <c r="N54" s="34">
        <f t="shared" si="2"/>
        <v>0</v>
      </c>
      <c r="O54" s="34">
        <f t="shared" si="2"/>
        <v>0</v>
      </c>
      <c r="P54" s="34">
        <f t="shared" si="2"/>
        <v>0</v>
      </c>
      <c r="Q54" s="34">
        <f t="shared" si="2"/>
        <v>0</v>
      </c>
      <c r="R54" s="34">
        <f t="shared" si="2"/>
        <v>0</v>
      </c>
      <c r="S54" s="34">
        <f t="shared" si="2"/>
        <v>1.5</v>
      </c>
      <c r="T54" s="34">
        <f t="shared" si="2"/>
        <v>0</v>
      </c>
      <c r="U54" s="34">
        <f t="shared" si="2"/>
        <v>0</v>
      </c>
      <c r="V54" s="34">
        <f t="shared" si="2"/>
        <v>0</v>
      </c>
      <c r="W54" s="34">
        <f t="shared" si="2"/>
        <v>0</v>
      </c>
      <c r="X54" s="34">
        <f t="shared" si="2"/>
        <v>0</v>
      </c>
      <c r="Y54" s="34">
        <f t="shared" si="2"/>
        <v>0</v>
      </c>
      <c r="Z54" s="34">
        <f t="shared" si="2"/>
        <v>0</v>
      </c>
      <c r="AA54" s="34">
        <f t="shared" si="3"/>
        <v>0</v>
      </c>
      <c r="AB54" s="34">
        <f t="shared" si="3"/>
        <v>0</v>
      </c>
      <c r="AC54" s="35">
        <f t="shared" si="3"/>
        <v>1.5</v>
      </c>
      <c r="AD54" s="36">
        <f t="shared" si="4"/>
        <v>1.8808299938645898</v>
      </c>
      <c r="AE54" s="36">
        <f t="shared" si="5"/>
        <v>1.9002335379675612</v>
      </c>
      <c r="AF54" s="36">
        <f t="shared" si="7"/>
        <v>3.7810635318321513</v>
      </c>
    </row>
    <row r="55" spans="1:32" s="23" customFormat="1" ht="30">
      <c r="A55" s="84" t="str">
        <f t="shared" si="6"/>
        <v>Firebreak / track maintenance - Expected to occur every 4 years, starting at year 4</v>
      </c>
      <c r="B55" s="4" t="s">
        <v>55</v>
      </c>
      <c r="C55" s="4" t="s">
        <v>65</v>
      </c>
      <c r="D55" s="5">
        <v>4</v>
      </c>
      <c r="E55" s="5"/>
      <c r="F55" s="6">
        <v>4</v>
      </c>
      <c r="G55" s="7"/>
      <c r="H55" s="7">
        <v>4000</v>
      </c>
      <c r="I55" s="32">
        <f t="shared" si="0"/>
        <v>4000</v>
      </c>
      <c r="J55" s="33">
        <f t="shared" si="1"/>
        <v>0</v>
      </c>
      <c r="K55" s="34">
        <f t="shared" si="2"/>
        <v>0</v>
      </c>
      <c r="L55" s="34">
        <f t="shared" si="2"/>
        <v>0</v>
      </c>
      <c r="M55" s="34">
        <f t="shared" si="2"/>
        <v>4000</v>
      </c>
      <c r="N55" s="34">
        <f t="shared" si="2"/>
        <v>0</v>
      </c>
      <c r="O55" s="34">
        <f t="shared" si="2"/>
        <v>0</v>
      </c>
      <c r="P55" s="34">
        <f t="shared" si="2"/>
        <v>0</v>
      </c>
      <c r="Q55" s="34">
        <f t="shared" si="2"/>
        <v>4000</v>
      </c>
      <c r="R55" s="34">
        <f t="shared" si="2"/>
        <v>0</v>
      </c>
      <c r="S55" s="34">
        <f t="shared" si="2"/>
        <v>0</v>
      </c>
      <c r="T55" s="34">
        <f t="shared" si="2"/>
        <v>0</v>
      </c>
      <c r="U55" s="34">
        <f t="shared" si="2"/>
        <v>4000</v>
      </c>
      <c r="V55" s="34">
        <f t="shared" si="2"/>
        <v>0</v>
      </c>
      <c r="W55" s="34">
        <f t="shared" si="2"/>
        <v>0</v>
      </c>
      <c r="X55" s="34">
        <f t="shared" si="2"/>
        <v>0</v>
      </c>
      <c r="Y55" s="34">
        <f t="shared" si="2"/>
        <v>4000</v>
      </c>
      <c r="Z55" s="34">
        <f t="shared" si="2"/>
        <v>0</v>
      </c>
      <c r="AA55" s="34">
        <f t="shared" si="3"/>
        <v>0</v>
      </c>
      <c r="AB55" s="34">
        <f t="shared" si="3"/>
        <v>0</v>
      </c>
      <c r="AC55" s="35">
        <f t="shared" si="3"/>
        <v>4000</v>
      </c>
      <c r="AD55" s="36">
        <f t="shared" si="4"/>
        <v>13959.702756370696</v>
      </c>
      <c r="AE55" s="36">
        <f t="shared" si="5"/>
        <v>14103.717743892796</v>
      </c>
      <c r="AF55" s="36">
        <f t="shared" si="7"/>
        <v>28063.42050026349</v>
      </c>
    </row>
    <row r="56" spans="1:32" s="23" customFormat="1" ht="45.75" thickBot="1">
      <c r="A56" s="84" t="str">
        <f t="shared" si="6"/>
        <v>Fence erection and maintenance - Fence erection in year 1 and replacement every 20 years, starting at year 20</v>
      </c>
      <c r="B56" s="4" t="s">
        <v>93</v>
      </c>
      <c r="C56" s="4" t="s">
        <v>94</v>
      </c>
      <c r="D56" s="5">
        <v>1</v>
      </c>
      <c r="E56" s="5"/>
      <c r="F56" s="6">
        <v>20</v>
      </c>
      <c r="G56" s="7">
        <v>40000</v>
      </c>
      <c r="H56" s="7"/>
      <c r="I56" s="32">
        <f t="shared" si="0"/>
        <v>40000</v>
      </c>
      <c r="J56" s="33">
        <f t="shared" si="1"/>
        <v>40000</v>
      </c>
      <c r="K56" s="34">
        <f t="shared" si="2"/>
        <v>0</v>
      </c>
      <c r="L56" s="34">
        <f t="shared" si="2"/>
        <v>0</v>
      </c>
      <c r="M56" s="34">
        <f t="shared" si="2"/>
        <v>0</v>
      </c>
      <c r="N56" s="34">
        <f t="shared" si="2"/>
        <v>0</v>
      </c>
      <c r="O56" s="34">
        <f t="shared" si="2"/>
        <v>0</v>
      </c>
      <c r="P56" s="34">
        <f t="shared" si="2"/>
        <v>0</v>
      </c>
      <c r="Q56" s="34">
        <f t="shared" si="2"/>
        <v>0</v>
      </c>
      <c r="R56" s="34">
        <f t="shared" si="2"/>
        <v>0</v>
      </c>
      <c r="S56" s="34">
        <f t="shared" si="2"/>
        <v>0</v>
      </c>
      <c r="T56" s="34">
        <f t="shared" si="2"/>
        <v>0</v>
      </c>
      <c r="U56" s="34">
        <f t="shared" si="2"/>
        <v>0</v>
      </c>
      <c r="V56" s="34">
        <f t="shared" si="2"/>
        <v>0</v>
      </c>
      <c r="W56" s="34">
        <f t="shared" si="2"/>
        <v>0</v>
      </c>
      <c r="X56" s="34">
        <f t="shared" si="2"/>
        <v>0</v>
      </c>
      <c r="Y56" s="34">
        <f t="shared" si="2"/>
        <v>0</v>
      </c>
      <c r="Z56" s="34">
        <f t="shared" si="2"/>
        <v>0</v>
      </c>
      <c r="AA56" s="34">
        <f t="shared" si="3"/>
        <v>0</v>
      </c>
      <c r="AB56" s="34">
        <f t="shared" si="3"/>
        <v>0</v>
      </c>
      <c r="AC56" s="35">
        <f t="shared" si="3"/>
        <v>0</v>
      </c>
      <c r="AD56" s="36">
        <f t="shared" si="4"/>
        <v>40000</v>
      </c>
      <c r="AE56" s="36">
        <f t="shared" si="5"/>
        <v>40412.659180601484</v>
      </c>
      <c r="AF56" s="36">
        <f t="shared" si="7"/>
        <v>80412.65918060148</v>
      </c>
    </row>
    <row r="57" spans="1:32" s="23" customFormat="1" ht="32.25" thickBot="1">
      <c r="A57" s="84" t="str">
        <f t="shared" si="6"/>
        <v>Other Recurring BioBank Site Management Cost Items - Description to Estimate Timing &amp; Costs</v>
      </c>
      <c r="B57" s="129" t="s">
        <v>128</v>
      </c>
      <c r="C57" s="37" t="str">
        <f>C48</f>
        <v>Description to Estimate Timing &amp; Costs</v>
      </c>
      <c r="D57" s="547" t="str">
        <f>D48</f>
        <v>Timing</v>
      </c>
      <c r="E57" s="548"/>
      <c r="F57" s="549"/>
      <c r="G57" s="547" t="str">
        <f>G48</f>
        <v>Cost (per year)</v>
      </c>
      <c r="H57" s="548"/>
      <c r="I57" s="549"/>
      <c r="J57" s="550"/>
      <c r="K57" s="507"/>
      <c r="L57" s="507"/>
      <c r="M57" s="507"/>
      <c r="N57" s="507"/>
      <c r="O57" s="507"/>
      <c r="P57" s="507"/>
      <c r="Q57" s="507"/>
      <c r="R57" s="507"/>
      <c r="S57" s="507"/>
      <c r="T57" s="507"/>
      <c r="U57" s="507"/>
      <c r="V57" s="507"/>
      <c r="W57" s="507"/>
      <c r="X57" s="507"/>
      <c r="Y57" s="507"/>
      <c r="Z57" s="507"/>
      <c r="AA57" s="507"/>
      <c r="AB57" s="507"/>
      <c r="AC57" s="508"/>
      <c r="AD57" s="24"/>
      <c r="AE57" s="24"/>
      <c r="AF57" s="24"/>
    </row>
    <row r="58" spans="1:32" s="23" customFormat="1" ht="45">
      <c r="A58" s="84" t="str">
        <f t="shared" si="6"/>
        <v>Annual management report compliance fee - Annual fee on submission of the report. Payment made directly from the BioBanking Trust Fund to DECC.</v>
      </c>
      <c r="B58" s="128" t="s">
        <v>105</v>
      </c>
      <c r="C58" s="130" t="s">
        <v>113</v>
      </c>
      <c r="D58" s="38">
        <v>1</v>
      </c>
      <c r="E58" s="39"/>
      <c r="F58" s="40"/>
      <c r="G58" s="41">
        <v>1225</v>
      </c>
      <c r="H58" s="42">
        <v>1225</v>
      </c>
      <c r="I58" s="32">
        <f>IF(ISERROR(AVERAGE(G58:H58)),0,AVERAGE(G58:H58))</f>
        <v>1225</v>
      </c>
      <c r="J58" s="33">
        <f aca="true" t="shared" si="8" ref="J58:AC58">IF(OR(ISBLANK($D58),$D58&gt;J$49),0,IF(AND(NOT(ISBLANK($E58)),J$49&gt;$E58),0,IF(MOD((J$49-$D58),MAX($F58,1))=0,$I58,0)))</f>
        <v>1225</v>
      </c>
      <c r="K58" s="34">
        <f t="shared" si="8"/>
        <v>1225</v>
      </c>
      <c r="L58" s="34">
        <f t="shared" si="8"/>
        <v>1225</v>
      </c>
      <c r="M58" s="34">
        <f t="shared" si="8"/>
        <v>1225</v>
      </c>
      <c r="N58" s="34">
        <f t="shared" si="8"/>
        <v>1225</v>
      </c>
      <c r="O58" s="34">
        <f t="shared" si="8"/>
        <v>1225</v>
      </c>
      <c r="P58" s="34">
        <f t="shared" si="8"/>
        <v>1225</v>
      </c>
      <c r="Q58" s="34">
        <f t="shared" si="8"/>
        <v>1225</v>
      </c>
      <c r="R58" s="34">
        <f t="shared" si="8"/>
        <v>1225</v>
      </c>
      <c r="S58" s="34">
        <f t="shared" si="8"/>
        <v>1225</v>
      </c>
      <c r="T58" s="34">
        <f t="shared" si="8"/>
        <v>1225</v>
      </c>
      <c r="U58" s="34">
        <f t="shared" si="8"/>
        <v>1225</v>
      </c>
      <c r="V58" s="34">
        <f t="shared" si="8"/>
        <v>1225</v>
      </c>
      <c r="W58" s="34">
        <f t="shared" si="8"/>
        <v>1225</v>
      </c>
      <c r="X58" s="34">
        <f t="shared" si="8"/>
        <v>1225</v>
      </c>
      <c r="Y58" s="34">
        <f t="shared" si="8"/>
        <v>1225</v>
      </c>
      <c r="Z58" s="34">
        <f t="shared" si="8"/>
        <v>1225</v>
      </c>
      <c r="AA58" s="34">
        <f t="shared" si="8"/>
        <v>1225</v>
      </c>
      <c r="AB58" s="34">
        <f t="shared" si="8"/>
        <v>1225</v>
      </c>
      <c r="AC58" s="35">
        <f t="shared" si="8"/>
        <v>1225</v>
      </c>
      <c r="AD58" s="36">
        <f>+SUMPRODUCT(J58:AC58,$J$66:$AC$66)</f>
        <v>18019.55083646277</v>
      </c>
      <c r="AE58" s="36">
        <f>(IF(ISBLANK(D58),0,IF(E58,0,((1+$K$37)^MOD($AC$49-D58,MAX(F58,1)))*((1+$K$37)^-$AC$49)*I58/((1+$K$37)^(MAX(F58,1))-1))))*(1+$K$37)</f>
        <v>18205.449163537305</v>
      </c>
      <c r="AF58" s="36">
        <f>+AD58+AE58</f>
        <v>36225.00000000007</v>
      </c>
    </row>
    <row r="59" spans="1:32" s="23" customFormat="1" ht="15.75" customHeight="1">
      <c r="A59" s="84" t="str">
        <f t="shared" si="6"/>
        <v>Rates (e.g. Council) - Annual amount </v>
      </c>
      <c r="B59" s="4" t="s">
        <v>56</v>
      </c>
      <c r="C59" s="4" t="s">
        <v>66</v>
      </c>
      <c r="D59" s="5">
        <v>1</v>
      </c>
      <c r="E59" s="5"/>
      <c r="F59" s="6"/>
      <c r="G59" s="7">
        <v>3000</v>
      </c>
      <c r="H59" s="7">
        <v>3000</v>
      </c>
      <c r="I59" s="32">
        <f>IF(ISERROR(AVERAGE(G59:H59)),0,AVERAGE(G59:H59))</f>
        <v>3000</v>
      </c>
      <c r="J59" s="33">
        <f aca="true" t="shared" si="9" ref="J59:AC62">IF(OR(ISBLANK($D59),$D59&gt;J$49),0,IF(AND(NOT(ISBLANK($E59)),J$49&gt;$E59),0,IF(MOD((J$49-$D59),MAX($F59,1))=0,$I59,0)))</f>
        <v>3000</v>
      </c>
      <c r="K59" s="34">
        <f t="shared" si="9"/>
        <v>3000</v>
      </c>
      <c r="L59" s="34">
        <f t="shared" si="9"/>
        <v>3000</v>
      </c>
      <c r="M59" s="34">
        <f t="shared" si="9"/>
        <v>3000</v>
      </c>
      <c r="N59" s="34">
        <f t="shared" si="9"/>
        <v>3000</v>
      </c>
      <c r="O59" s="34">
        <f t="shared" si="9"/>
        <v>3000</v>
      </c>
      <c r="P59" s="34">
        <f t="shared" si="9"/>
        <v>3000</v>
      </c>
      <c r="Q59" s="34">
        <f t="shared" si="9"/>
        <v>3000</v>
      </c>
      <c r="R59" s="34">
        <f t="shared" si="9"/>
        <v>3000</v>
      </c>
      <c r="S59" s="34">
        <f t="shared" si="9"/>
        <v>3000</v>
      </c>
      <c r="T59" s="34">
        <f t="shared" si="9"/>
        <v>3000</v>
      </c>
      <c r="U59" s="34">
        <f t="shared" si="9"/>
        <v>3000</v>
      </c>
      <c r="V59" s="34">
        <f t="shared" si="9"/>
        <v>3000</v>
      </c>
      <c r="W59" s="34">
        <f t="shared" si="9"/>
        <v>3000</v>
      </c>
      <c r="X59" s="34">
        <f t="shared" si="9"/>
        <v>3000</v>
      </c>
      <c r="Y59" s="34">
        <f t="shared" si="9"/>
        <v>3000</v>
      </c>
      <c r="Z59" s="34">
        <f t="shared" si="9"/>
        <v>3000</v>
      </c>
      <c r="AA59" s="34">
        <f t="shared" si="9"/>
        <v>3000</v>
      </c>
      <c r="AB59" s="34">
        <f t="shared" si="9"/>
        <v>3000</v>
      </c>
      <c r="AC59" s="35">
        <f t="shared" si="9"/>
        <v>3000</v>
      </c>
      <c r="AD59" s="36">
        <f>+SUMPRODUCT(J59:AC59,$J$66:$AC$66)</f>
        <v>44129.51225256189</v>
      </c>
      <c r="AE59" s="36">
        <f>(IF(ISBLANK(D59),0,IF(E59,0,((1+$K$37)^MOD($AC$49-D59,MAX(F59,1)))*((1+$K$37)^-$AC$49)*I59/((1+$K$37)^(MAX(F59,1))-1))))*(1+$K$37)</f>
        <v>44584.77346172402</v>
      </c>
      <c r="AF59" s="36">
        <f>+AD59+AE59</f>
        <v>88714.28571428591</v>
      </c>
    </row>
    <row r="60" spans="1:32" s="23" customFormat="1" ht="15.75" customHeight="1">
      <c r="A60" s="84" t="str">
        <f t="shared" si="6"/>
        <v>Insurance (e.g. fences, public liability) - Annual amount </v>
      </c>
      <c r="B60" s="4" t="s">
        <v>76</v>
      </c>
      <c r="C60" s="4" t="s">
        <v>66</v>
      </c>
      <c r="D60" s="5">
        <v>1</v>
      </c>
      <c r="E60" s="5"/>
      <c r="F60" s="6"/>
      <c r="G60" s="7">
        <v>5000</v>
      </c>
      <c r="H60" s="7">
        <v>5000</v>
      </c>
      <c r="I60" s="32">
        <f>IF(ISERROR(AVERAGE(G60:H60)),0,AVERAGE(G60:H60))</f>
        <v>5000</v>
      </c>
      <c r="J60" s="33">
        <f t="shared" si="9"/>
        <v>5000</v>
      </c>
      <c r="K60" s="34">
        <f t="shared" si="9"/>
        <v>5000</v>
      </c>
      <c r="L60" s="34">
        <f t="shared" si="9"/>
        <v>5000</v>
      </c>
      <c r="M60" s="34">
        <f t="shared" si="9"/>
        <v>5000</v>
      </c>
      <c r="N60" s="34">
        <f t="shared" si="9"/>
        <v>5000</v>
      </c>
      <c r="O60" s="34">
        <f t="shared" si="9"/>
        <v>5000</v>
      </c>
      <c r="P60" s="34">
        <f t="shared" si="9"/>
        <v>5000</v>
      </c>
      <c r="Q60" s="34">
        <f t="shared" si="9"/>
        <v>5000</v>
      </c>
      <c r="R60" s="34">
        <f t="shared" si="9"/>
        <v>5000</v>
      </c>
      <c r="S60" s="34">
        <f t="shared" si="9"/>
        <v>5000</v>
      </c>
      <c r="T60" s="34">
        <f t="shared" si="9"/>
        <v>5000</v>
      </c>
      <c r="U60" s="34">
        <f t="shared" si="9"/>
        <v>5000</v>
      </c>
      <c r="V60" s="34">
        <f t="shared" si="9"/>
        <v>5000</v>
      </c>
      <c r="W60" s="34">
        <f t="shared" si="9"/>
        <v>5000</v>
      </c>
      <c r="X60" s="34">
        <f t="shared" si="9"/>
        <v>5000</v>
      </c>
      <c r="Y60" s="34">
        <f t="shared" si="9"/>
        <v>5000</v>
      </c>
      <c r="Z60" s="34">
        <f t="shared" si="9"/>
        <v>5000</v>
      </c>
      <c r="AA60" s="34">
        <f t="shared" si="9"/>
        <v>5000</v>
      </c>
      <c r="AB60" s="34">
        <f t="shared" si="9"/>
        <v>5000</v>
      </c>
      <c r="AC60" s="35">
        <f t="shared" si="9"/>
        <v>5000</v>
      </c>
      <c r="AD60" s="36">
        <f>+SUMPRODUCT(J60:AC60,$J$66:$AC$66)</f>
        <v>73549.18708760315</v>
      </c>
      <c r="AE60" s="36">
        <f>(IF(ISBLANK(D60),0,IF(E60,0,((1+$K$37)^MOD($AC$49-D60,MAX(F60,1)))*((1+$K$37)^-$AC$49)*I60/((1+$K$37)^(MAX(F60,1))-1))))*(1+$K$37)</f>
        <v>74307.95576954003</v>
      </c>
      <c r="AF60" s="36">
        <f>+AD60+AE60</f>
        <v>147857.1428571432</v>
      </c>
    </row>
    <row r="61" spans="1:32" s="23" customFormat="1" ht="33.75" customHeight="1">
      <c r="A61" s="84" t="str">
        <f t="shared" si="6"/>
        <v>Business management/ Administration costs - Estimated business management costs associated with biobank site</v>
      </c>
      <c r="B61" s="4" t="s">
        <v>87</v>
      </c>
      <c r="C61" s="4" t="s">
        <v>68</v>
      </c>
      <c r="D61" s="5">
        <v>1</v>
      </c>
      <c r="E61" s="5"/>
      <c r="F61" s="6"/>
      <c r="G61" s="7">
        <v>5000</v>
      </c>
      <c r="H61" s="7">
        <v>5000</v>
      </c>
      <c r="I61" s="32">
        <f>IF(ISERROR(AVERAGE(G61:H61)),0,AVERAGE(G61:H61))</f>
        <v>5000</v>
      </c>
      <c r="J61" s="33">
        <f t="shared" si="9"/>
        <v>5000</v>
      </c>
      <c r="K61" s="34">
        <f t="shared" si="9"/>
        <v>5000</v>
      </c>
      <c r="L61" s="34">
        <f t="shared" si="9"/>
        <v>5000</v>
      </c>
      <c r="M61" s="34">
        <f t="shared" si="9"/>
        <v>5000</v>
      </c>
      <c r="N61" s="34">
        <f t="shared" si="9"/>
        <v>5000</v>
      </c>
      <c r="O61" s="34">
        <f t="shared" si="9"/>
        <v>5000</v>
      </c>
      <c r="P61" s="34">
        <f t="shared" si="9"/>
        <v>5000</v>
      </c>
      <c r="Q61" s="34">
        <f t="shared" si="9"/>
        <v>5000</v>
      </c>
      <c r="R61" s="34">
        <f t="shared" si="9"/>
        <v>5000</v>
      </c>
      <c r="S61" s="34">
        <f t="shared" si="9"/>
        <v>5000</v>
      </c>
      <c r="T61" s="34">
        <f t="shared" si="9"/>
        <v>5000</v>
      </c>
      <c r="U61" s="34">
        <f t="shared" si="9"/>
        <v>5000</v>
      </c>
      <c r="V61" s="34">
        <f t="shared" si="9"/>
        <v>5000</v>
      </c>
      <c r="W61" s="34">
        <f t="shared" si="9"/>
        <v>5000</v>
      </c>
      <c r="X61" s="34">
        <f t="shared" si="9"/>
        <v>5000</v>
      </c>
      <c r="Y61" s="34">
        <f t="shared" si="9"/>
        <v>5000</v>
      </c>
      <c r="Z61" s="34">
        <f t="shared" si="9"/>
        <v>5000</v>
      </c>
      <c r="AA61" s="34">
        <f t="shared" si="9"/>
        <v>5000</v>
      </c>
      <c r="AB61" s="34">
        <f t="shared" si="9"/>
        <v>5000</v>
      </c>
      <c r="AC61" s="35">
        <f t="shared" si="9"/>
        <v>5000</v>
      </c>
      <c r="AD61" s="36">
        <f>+SUMPRODUCT(J61:AC61,$J$66:$AC$66)</f>
        <v>73549.18708760315</v>
      </c>
      <c r="AE61" s="36">
        <f>(IF(ISBLANK(D61),0,IF(E61,0,((1+$K$37)^MOD($AC$49-D61,MAX(F61,1)))*((1+$K$37)^-$AC$49)*I61/((1+$K$37)^(MAX(F61,1))-1))))*(1+$K$37)</f>
        <v>74307.95576954003</v>
      </c>
      <c r="AF61" s="36">
        <f>+AD61+AE61</f>
        <v>147857.1428571432</v>
      </c>
    </row>
    <row r="62" spans="1:32" s="23" customFormat="1" ht="46.5" customHeight="1">
      <c r="A62" s="84" t="str">
        <f t="shared" si="6"/>
        <v>Annual monitoring &amp; reporting requirements per biobanking agreement - Annual expected landowner time to complete annual reporting requirements</v>
      </c>
      <c r="B62" s="4" t="s">
        <v>88</v>
      </c>
      <c r="C62" s="4" t="s">
        <v>67</v>
      </c>
      <c r="D62" s="5">
        <v>1</v>
      </c>
      <c r="E62" s="5"/>
      <c r="F62" s="6"/>
      <c r="G62" s="7">
        <v>500</v>
      </c>
      <c r="H62" s="7">
        <v>500</v>
      </c>
      <c r="I62" s="32">
        <f>IF(ISERROR(AVERAGE(G62:H62)),0,AVERAGE(G62:H62))</f>
        <v>500</v>
      </c>
      <c r="J62" s="33">
        <f t="shared" si="9"/>
        <v>500</v>
      </c>
      <c r="K62" s="34">
        <f t="shared" si="9"/>
        <v>500</v>
      </c>
      <c r="L62" s="34">
        <f t="shared" si="9"/>
        <v>500</v>
      </c>
      <c r="M62" s="34">
        <f t="shared" si="9"/>
        <v>500</v>
      </c>
      <c r="N62" s="34">
        <f t="shared" si="9"/>
        <v>500</v>
      </c>
      <c r="O62" s="34">
        <f t="shared" si="9"/>
        <v>500</v>
      </c>
      <c r="P62" s="34">
        <f t="shared" si="9"/>
        <v>500</v>
      </c>
      <c r="Q62" s="34">
        <f t="shared" si="9"/>
        <v>500</v>
      </c>
      <c r="R62" s="34">
        <f t="shared" si="9"/>
        <v>500</v>
      </c>
      <c r="S62" s="34">
        <f t="shared" si="9"/>
        <v>500</v>
      </c>
      <c r="T62" s="34">
        <f t="shared" si="9"/>
        <v>500</v>
      </c>
      <c r="U62" s="34">
        <f t="shared" si="9"/>
        <v>500</v>
      </c>
      <c r="V62" s="34">
        <f t="shared" si="9"/>
        <v>500</v>
      </c>
      <c r="W62" s="34">
        <f t="shared" si="9"/>
        <v>500</v>
      </c>
      <c r="X62" s="34">
        <f t="shared" si="9"/>
        <v>500</v>
      </c>
      <c r="Y62" s="34">
        <f t="shared" si="9"/>
        <v>500</v>
      </c>
      <c r="Z62" s="34">
        <f t="shared" si="9"/>
        <v>500</v>
      </c>
      <c r="AA62" s="34">
        <f t="shared" si="9"/>
        <v>500</v>
      </c>
      <c r="AB62" s="34">
        <f t="shared" si="9"/>
        <v>500</v>
      </c>
      <c r="AC62" s="35">
        <f t="shared" si="9"/>
        <v>500</v>
      </c>
      <c r="AD62" s="36">
        <f>+SUMPRODUCT(J62:AC62,$J$66:$AC$66)</f>
        <v>7354.918708760314</v>
      </c>
      <c r="AE62" s="36">
        <f>(IF(ISBLANK(D62),0,IF(E62,0,((1+$K$37)^MOD($AC$49-D62,MAX(F62,1)))*((1+$K$37)^-$AC$49)*I62/((1+$K$37)^(MAX(F62,1))-1))))*(1+$K$37)</f>
        <v>7430.795576954004</v>
      </c>
      <c r="AF62" s="36">
        <f>+AD62+AE62</f>
        <v>14785.714285714319</v>
      </c>
    </row>
    <row r="63" spans="1:32" s="23" customFormat="1" ht="13.5" customHeight="1" thickBot="1">
      <c r="A63" s="86"/>
      <c r="B63" s="43"/>
      <c r="C63" s="43"/>
      <c r="D63" s="43"/>
      <c r="E63" s="43"/>
      <c r="F63" s="43"/>
      <c r="H63" s="44"/>
      <c r="I63" s="45" t="s">
        <v>19</v>
      </c>
      <c r="J63" s="169">
        <f aca="true" t="shared" si="10" ref="J63:AC63">SUM(J58:J62)+SUM(J50:J56)</f>
        <v>104725</v>
      </c>
      <c r="K63" s="170">
        <f t="shared" si="10"/>
        <v>64725</v>
      </c>
      <c r="L63" s="170">
        <f t="shared" si="10"/>
        <v>64725</v>
      </c>
      <c r="M63" s="170">
        <f t="shared" si="10"/>
        <v>88725</v>
      </c>
      <c r="N63" s="170">
        <f t="shared" si="10"/>
        <v>84725</v>
      </c>
      <c r="O63" s="170">
        <f t="shared" si="10"/>
        <v>22725</v>
      </c>
      <c r="P63" s="170">
        <f t="shared" si="10"/>
        <v>22725</v>
      </c>
      <c r="Q63" s="170">
        <f t="shared" si="10"/>
        <v>23725</v>
      </c>
      <c r="R63" s="170">
        <f t="shared" si="10"/>
        <v>19725</v>
      </c>
      <c r="S63" s="170">
        <f t="shared" si="10"/>
        <v>19726.5</v>
      </c>
      <c r="T63" s="170">
        <f t="shared" si="10"/>
        <v>19725</v>
      </c>
      <c r="U63" s="170">
        <f t="shared" si="10"/>
        <v>23725</v>
      </c>
      <c r="V63" s="170">
        <f t="shared" si="10"/>
        <v>19725</v>
      </c>
      <c r="W63" s="170">
        <f t="shared" si="10"/>
        <v>19725</v>
      </c>
      <c r="X63" s="170">
        <f t="shared" si="10"/>
        <v>19725</v>
      </c>
      <c r="Y63" s="170">
        <f t="shared" si="10"/>
        <v>23725</v>
      </c>
      <c r="Z63" s="170">
        <f t="shared" si="10"/>
        <v>19725</v>
      </c>
      <c r="AA63" s="170">
        <f t="shared" si="10"/>
        <v>19725</v>
      </c>
      <c r="AB63" s="170">
        <f t="shared" si="10"/>
        <v>19725</v>
      </c>
      <c r="AC63" s="171">
        <f t="shared" si="10"/>
        <v>23726.5</v>
      </c>
      <c r="AD63" s="172"/>
      <c r="AE63" s="172"/>
      <c r="AF63" s="173" t="s">
        <v>106</v>
      </c>
    </row>
    <row r="64" spans="1:32" s="88" customFormat="1" ht="16.5" customHeight="1" thickBot="1">
      <c r="A64" s="86"/>
      <c r="B64" s="43"/>
      <c r="C64" s="43"/>
      <c r="D64" s="43"/>
      <c r="E64" s="43"/>
      <c r="F64" s="43"/>
      <c r="G64" s="23"/>
      <c r="H64" s="46"/>
      <c r="I64" s="45" t="s">
        <v>103</v>
      </c>
      <c r="J64" s="174">
        <f aca="true" t="shared" si="11" ref="J64:AC64">J63*(1+$K$37)^-(J49-1)</f>
        <v>104725</v>
      </c>
      <c r="K64" s="175">
        <f t="shared" si="11"/>
        <v>62536.231884057976</v>
      </c>
      <c r="L64" s="175">
        <f t="shared" si="11"/>
        <v>60421.480081215435</v>
      </c>
      <c r="M64" s="175">
        <f t="shared" si="11"/>
        <v>80024.86656039528</v>
      </c>
      <c r="N64" s="175">
        <f t="shared" si="11"/>
        <v>73832.94274176155</v>
      </c>
      <c r="O64" s="175">
        <f t="shared" si="11"/>
        <v>19133.84021685996</v>
      </c>
      <c r="P64" s="175">
        <f t="shared" si="11"/>
        <v>18486.802141893684</v>
      </c>
      <c r="Q64" s="175">
        <f t="shared" si="11"/>
        <v>18647.63554222361</v>
      </c>
      <c r="R64" s="175">
        <f t="shared" si="11"/>
        <v>14979.392946365542</v>
      </c>
      <c r="S64" s="175">
        <f t="shared" si="11"/>
        <v>14473.944022898424</v>
      </c>
      <c r="T64" s="175">
        <f t="shared" si="11"/>
        <v>13983.423600425256</v>
      </c>
      <c r="U64" s="175">
        <f t="shared" si="11"/>
        <v>16250.337058226422</v>
      </c>
      <c r="V64" s="175">
        <f t="shared" si="11"/>
        <v>13053.675558753068</v>
      </c>
      <c r="W64" s="175">
        <f t="shared" si="11"/>
        <v>12612.246916669636</v>
      </c>
      <c r="X64" s="175">
        <f t="shared" si="11"/>
        <v>12185.745813207375</v>
      </c>
      <c r="Y64" s="175">
        <f t="shared" si="11"/>
        <v>14161.229926873499</v>
      </c>
      <c r="Z64" s="175">
        <f t="shared" si="11"/>
        <v>11375.524108574184</v>
      </c>
      <c r="AA64" s="175">
        <f t="shared" si="11"/>
        <v>10990.844549347037</v>
      </c>
      <c r="AB64" s="175">
        <f t="shared" si="11"/>
        <v>10619.173477629989</v>
      </c>
      <c r="AC64" s="176">
        <f t="shared" si="11"/>
        <v>12341.473987961914</v>
      </c>
      <c r="AD64" s="177">
        <f>SUM(AD58:AD62)+SUM(AD50:AD56)</f>
        <v>594835.8111353399</v>
      </c>
      <c r="AE64" s="177">
        <f>SUM(AE58:AE62)+SUM(AE49:AE56)</f>
        <v>347663.1626688676</v>
      </c>
      <c r="AF64" s="177">
        <f>+AD64+AE64</f>
        <v>942498.9738042075</v>
      </c>
    </row>
    <row r="65" spans="1:32" s="88" customFormat="1" ht="26.25" customHeight="1">
      <c r="A65" s="86"/>
      <c r="B65" s="43"/>
      <c r="C65" s="43"/>
      <c r="D65" s="43"/>
      <c r="E65" s="43"/>
      <c r="F65" s="43"/>
      <c r="G65" s="23"/>
      <c r="H65" s="46"/>
      <c r="I65" s="45"/>
      <c r="J65" s="47"/>
      <c r="K65" s="47"/>
      <c r="L65" s="47"/>
      <c r="M65" s="47"/>
      <c r="N65" s="47"/>
      <c r="O65" s="47"/>
      <c r="P65" s="47"/>
      <c r="Q65" s="47"/>
      <c r="R65" s="47"/>
      <c r="S65" s="47"/>
      <c r="T65" s="47"/>
      <c r="U65" s="47"/>
      <c r="V65" s="47"/>
      <c r="W65" s="47"/>
      <c r="X65" s="47"/>
      <c r="Y65" s="47"/>
      <c r="Z65" s="47"/>
      <c r="AA65" s="47"/>
      <c r="AB65" s="47"/>
      <c r="AC65" s="47"/>
      <c r="AD65" s="47"/>
      <c r="AE65" s="47"/>
      <c r="AF65" s="45"/>
    </row>
    <row r="66" spans="1:32" s="88" customFormat="1" ht="28.5" customHeight="1">
      <c r="A66" s="86"/>
      <c r="B66" s="23"/>
      <c r="C66" s="23"/>
      <c r="D66" s="9"/>
      <c r="E66" s="9"/>
      <c r="F66" s="9"/>
      <c r="G66" s="9"/>
      <c r="H66" s="109" t="s">
        <v>127</v>
      </c>
      <c r="I66" s="110"/>
      <c r="J66" s="111">
        <f>+(1+$K$37)^-(J49-1)</f>
        <v>1</v>
      </c>
      <c r="K66" s="111">
        <f aca="true" t="shared" si="12" ref="K66:AC66">+(1+$K$37)^-(K49-1)</f>
        <v>0.9661835748792271</v>
      </c>
      <c r="L66" s="111">
        <f t="shared" si="12"/>
        <v>0.933510700366403</v>
      </c>
      <c r="M66" s="111">
        <f t="shared" si="12"/>
        <v>0.9019427056680224</v>
      </c>
      <c r="N66" s="111">
        <f t="shared" si="12"/>
        <v>0.8714422276985724</v>
      </c>
      <c r="O66" s="111">
        <f t="shared" si="12"/>
        <v>0.8419731668585242</v>
      </c>
      <c r="P66" s="111">
        <f t="shared" si="12"/>
        <v>0.8135006443077528</v>
      </c>
      <c r="Q66" s="111">
        <f t="shared" si="12"/>
        <v>0.7859909606838191</v>
      </c>
      <c r="R66" s="111">
        <f t="shared" si="12"/>
        <v>0.7594115562162506</v>
      </c>
      <c r="S66" s="111">
        <f t="shared" si="12"/>
        <v>0.7337309721896141</v>
      </c>
      <c r="T66" s="111">
        <f t="shared" si="12"/>
        <v>0.7089188137097722</v>
      </c>
      <c r="U66" s="111">
        <f t="shared" si="12"/>
        <v>0.6849457137292485</v>
      </c>
      <c r="V66" s="111">
        <f t="shared" si="12"/>
        <v>0.661783298289129</v>
      </c>
      <c r="W66" s="111">
        <f t="shared" si="12"/>
        <v>0.6394041529363567</v>
      </c>
      <c r="X66" s="111">
        <f t="shared" si="12"/>
        <v>0.617781790276673</v>
      </c>
      <c r="Y66" s="111">
        <f t="shared" si="12"/>
        <v>0.596890618624805</v>
      </c>
      <c r="Z66" s="111">
        <f t="shared" si="12"/>
        <v>0.5767059117147875</v>
      </c>
      <c r="AA66" s="111">
        <f t="shared" si="12"/>
        <v>0.5572037794345773</v>
      </c>
      <c r="AB66" s="111">
        <f t="shared" si="12"/>
        <v>0.5383611395503163</v>
      </c>
      <c r="AC66" s="112">
        <f t="shared" si="12"/>
        <v>0.5201556903867791</v>
      </c>
      <c r="AD66" s="48"/>
      <c r="AE66" s="48"/>
      <c r="AF66" s="23"/>
    </row>
    <row r="67" spans="1:32" s="88" customFormat="1" ht="28.5" customHeight="1">
      <c r="A67" s="86"/>
      <c r="B67" s="9"/>
      <c r="C67" s="9"/>
      <c r="D67" s="9"/>
      <c r="E67" s="10"/>
      <c r="F67" s="9"/>
      <c r="G67" s="45"/>
      <c r="H67" s="9"/>
      <c r="I67" s="49"/>
      <c r="J67" s="50"/>
      <c r="K67" s="50"/>
      <c r="L67" s="50"/>
      <c r="M67" s="50"/>
      <c r="N67" s="50"/>
      <c r="O67" s="50"/>
      <c r="P67" s="50"/>
      <c r="Q67" s="50"/>
      <c r="R67" s="50"/>
      <c r="S67" s="50"/>
      <c r="T67" s="51"/>
      <c r="U67" s="51"/>
      <c r="V67" s="51"/>
      <c r="W67" s="51"/>
      <c r="X67" s="51"/>
      <c r="Y67" s="51"/>
      <c r="Z67" s="51"/>
      <c r="AA67" s="48"/>
      <c r="AB67" s="48"/>
      <c r="AC67" s="48"/>
      <c r="AD67" s="48"/>
      <c r="AE67" s="48"/>
      <c r="AF67" s="11"/>
    </row>
    <row r="68" spans="1:32" s="88" customFormat="1" ht="46.5" customHeight="1" thickBot="1">
      <c r="A68" s="86"/>
      <c r="B68" s="9"/>
      <c r="C68" s="9"/>
      <c r="D68" s="9"/>
      <c r="E68" s="9"/>
      <c r="F68" s="9"/>
      <c r="G68" s="52"/>
      <c r="H68" s="9"/>
      <c r="I68" s="52"/>
      <c r="J68" s="13"/>
      <c r="K68" s="13"/>
      <c r="L68" s="48"/>
      <c r="M68" s="48"/>
      <c r="N68" s="48"/>
      <c r="O68" s="48"/>
      <c r="P68" s="48"/>
      <c r="Q68" s="48"/>
      <c r="R68" s="48"/>
      <c r="S68" s="48"/>
      <c r="T68" s="48"/>
      <c r="U68" s="48"/>
      <c r="V68" s="48"/>
      <c r="W68" s="48"/>
      <c r="X68" s="48"/>
      <c r="Y68" s="48"/>
      <c r="Z68" s="48"/>
      <c r="AA68" s="48"/>
      <c r="AB68" s="48"/>
      <c r="AC68" s="48"/>
      <c r="AD68" s="48"/>
      <c r="AE68" s="13"/>
      <c r="AF68" s="11"/>
    </row>
    <row r="69" spans="1:32" s="23" customFormat="1" ht="60.75" customHeight="1">
      <c r="A69" s="10"/>
      <c r="B69" s="9"/>
      <c r="C69" s="9"/>
      <c r="D69" s="10"/>
      <c r="E69" s="10"/>
      <c r="F69" s="10"/>
      <c r="G69" s="10"/>
      <c r="H69" s="10"/>
      <c r="I69" s="10"/>
      <c r="J69" s="530" t="s">
        <v>57</v>
      </c>
      <c r="K69" s="531"/>
      <c r="L69" s="531"/>
      <c r="M69" s="531"/>
      <c r="N69" s="531"/>
      <c r="O69" s="531"/>
      <c r="P69" s="531"/>
      <c r="Q69" s="531"/>
      <c r="R69" s="531"/>
      <c r="S69" s="531"/>
      <c r="T69" s="531"/>
      <c r="U69" s="531"/>
      <c r="V69" s="531"/>
      <c r="W69" s="531"/>
      <c r="X69" s="531"/>
      <c r="Y69" s="531"/>
      <c r="Z69" s="531"/>
      <c r="AA69" s="531"/>
      <c r="AB69" s="531"/>
      <c r="AC69" s="531"/>
      <c r="AD69" s="515" t="s">
        <v>131</v>
      </c>
      <c r="AE69" s="515" t="s">
        <v>130</v>
      </c>
      <c r="AF69" s="515" t="s">
        <v>129</v>
      </c>
    </row>
    <row r="70" spans="1:32" s="89" customFormat="1" ht="51" customHeight="1" thickBot="1">
      <c r="A70" s="87"/>
      <c r="B70" s="9"/>
      <c r="C70" s="9"/>
      <c r="D70" s="10"/>
      <c r="E70" s="10"/>
      <c r="F70" s="10"/>
      <c r="G70" s="10"/>
      <c r="H70" s="10"/>
      <c r="I70" s="10"/>
      <c r="J70" s="53">
        <v>1</v>
      </c>
      <c r="K70" s="54">
        <v>2</v>
      </c>
      <c r="L70" s="54">
        <v>3</v>
      </c>
      <c r="M70" s="54">
        <v>4</v>
      </c>
      <c r="N70" s="54">
        <v>5</v>
      </c>
      <c r="O70" s="54">
        <v>6</v>
      </c>
      <c r="P70" s="54">
        <v>7</v>
      </c>
      <c r="Q70" s="54">
        <v>8</v>
      </c>
      <c r="R70" s="54">
        <v>9</v>
      </c>
      <c r="S70" s="54">
        <v>10</v>
      </c>
      <c r="T70" s="54">
        <v>11</v>
      </c>
      <c r="U70" s="54">
        <v>12</v>
      </c>
      <c r="V70" s="54">
        <v>13</v>
      </c>
      <c r="W70" s="54">
        <v>14</v>
      </c>
      <c r="X70" s="54">
        <v>15</v>
      </c>
      <c r="Y70" s="54">
        <v>16</v>
      </c>
      <c r="Z70" s="54">
        <v>17</v>
      </c>
      <c r="AA70" s="54">
        <v>18</v>
      </c>
      <c r="AB70" s="54">
        <v>19</v>
      </c>
      <c r="AC70" s="54">
        <v>20</v>
      </c>
      <c r="AD70" s="541"/>
      <c r="AE70" s="541"/>
      <c r="AF70" s="541"/>
    </row>
    <row r="71" spans="1:32" s="89" customFormat="1" ht="18" customHeight="1">
      <c r="A71" s="87"/>
      <c r="B71" s="9"/>
      <c r="C71" s="9"/>
      <c r="D71" s="10"/>
      <c r="E71" s="10"/>
      <c r="F71" s="10"/>
      <c r="G71" s="10"/>
      <c r="H71" s="10"/>
      <c r="I71" s="131" t="s">
        <v>132</v>
      </c>
      <c r="J71" s="118">
        <f>J63</f>
        <v>104725</v>
      </c>
      <c r="K71" s="119">
        <f aca="true" t="shared" si="13" ref="K71:AC71">K63</f>
        <v>64725</v>
      </c>
      <c r="L71" s="119">
        <f t="shared" si="13"/>
        <v>64725</v>
      </c>
      <c r="M71" s="119">
        <f t="shared" si="13"/>
        <v>88725</v>
      </c>
      <c r="N71" s="119">
        <f t="shared" si="13"/>
        <v>84725</v>
      </c>
      <c r="O71" s="119">
        <f t="shared" si="13"/>
        <v>22725</v>
      </c>
      <c r="P71" s="119">
        <f t="shared" si="13"/>
        <v>22725</v>
      </c>
      <c r="Q71" s="119">
        <f t="shared" si="13"/>
        <v>23725</v>
      </c>
      <c r="R71" s="119">
        <f t="shared" si="13"/>
        <v>19725</v>
      </c>
      <c r="S71" s="119">
        <f>S63</f>
        <v>19726.5</v>
      </c>
      <c r="T71" s="119">
        <f t="shared" si="13"/>
        <v>19725</v>
      </c>
      <c r="U71" s="119">
        <f t="shared" si="13"/>
        <v>23725</v>
      </c>
      <c r="V71" s="119">
        <f t="shared" si="13"/>
        <v>19725</v>
      </c>
      <c r="W71" s="119">
        <f t="shared" si="13"/>
        <v>19725</v>
      </c>
      <c r="X71" s="119">
        <f t="shared" si="13"/>
        <v>19725</v>
      </c>
      <c r="Y71" s="119">
        <f t="shared" si="13"/>
        <v>23725</v>
      </c>
      <c r="Z71" s="119">
        <f t="shared" si="13"/>
        <v>19725</v>
      </c>
      <c r="AA71" s="119">
        <f t="shared" si="13"/>
        <v>19725</v>
      </c>
      <c r="AB71" s="119">
        <f t="shared" si="13"/>
        <v>19725</v>
      </c>
      <c r="AC71" s="120">
        <f t="shared" si="13"/>
        <v>23726.5</v>
      </c>
      <c r="AD71" s="121">
        <f>+SUM(AD47:AD62)</f>
        <v>594835.8111353399</v>
      </c>
      <c r="AE71" s="121">
        <f>AE64</f>
        <v>347663.1626688676</v>
      </c>
      <c r="AF71" s="121">
        <f>+AD71+AE71</f>
        <v>942498.9738042075</v>
      </c>
    </row>
    <row r="72" spans="1:32" s="23" customFormat="1" ht="16.5" customHeight="1">
      <c r="A72" s="86"/>
      <c r="B72" s="9"/>
      <c r="C72" s="9"/>
      <c r="D72" s="9"/>
      <c r="E72" s="9"/>
      <c r="F72" s="9"/>
      <c r="G72" s="9"/>
      <c r="H72" s="9"/>
      <c r="I72" s="132" t="s">
        <v>138</v>
      </c>
      <c r="J72" s="186">
        <f>IF($C$39="Yes",(J71-J58)*1.1+J58,J71)</f>
        <v>115075.00000000001</v>
      </c>
      <c r="K72" s="187">
        <f aca="true" t="shared" si="14" ref="K72:AF72">IF($C$39="Yes",(K71-K58)*1.1+K58,K71)</f>
        <v>71075</v>
      </c>
      <c r="L72" s="187">
        <f t="shared" si="14"/>
        <v>71075</v>
      </c>
      <c r="M72" s="187">
        <f t="shared" si="14"/>
        <v>97475.00000000001</v>
      </c>
      <c r="N72" s="187">
        <f t="shared" si="14"/>
        <v>93075.00000000001</v>
      </c>
      <c r="O72" s="187">
        <f t="shared" si="14"/>
        <v>24875.000000000004</v>
      </c>
      <c r="P72" s="187">
        <f t="shared" si="14"/>
        <v>24875.000000000004</v>
      </c>
      <c r="Q72" s="187">
        <f t="shared" si="14"/>
        <v>25975.000000000004</v>
      </c>
      <c r="R72" s="187">
        <f t="shared" si="14"/>
        <v>21575</v>
      </c>
      <c r="S72" s="187">
        <f t="shared" si="14"/>
        <v>21576.65</v>
      </c>
      <c r="T72" s="187">
        <f t="shared" si="14"/>
        <v>21575</v>
      </c>
      <c r="U72" s="187">
        <f t="shared" si="14"/>
        <v>25975.000000000004</v>
      </c>
      <c r="V72" s="187">
        <f t="shared" si="14"/>
        <v>21575</v>
      </c>
      <c r="W72" s="187">
        <f t="shared" si="14"/>
        <v>21575</v>
      </c>
      <c r="X72" s="187">
        <f t="shared" si="14"/>
        <v>21575</v>
      </c>
      <c r="Y72" s="187">
        <f t="shared" si="14"/>
        <v>25975.000000000004</v>
      </c>
      <c r="Z72" s="187">
        <f t="shared" si="14"/>
        <v>21575</v>
      </c>
      <c r="AA72" s="187">
        <f t="shared" si="14"/>
        <v>21575</v>
      </c>
      <c r="AB72" s="187">
        <f t="shared" si="14"/>
        <v>21575</v>
      </c>
      <c r="AC72" s="188">
        <f t="shared" si="14"/>
        <v>25976.65</v>
      </c>
      <c r="AD72" s="124">
        <f t="shared" si="14"/>
        <v>652517.4371652277</v>
      </c>
      <c r="AE72" s="124">
        <f t="shared" si="14"/>
        <v>380608.9340194007</v>
      </c>
      <c r="AF72" s="124">
        <f t="shared" si="14"/>
        <v>1033126.3711846283</v>
      </c>
    </row>
    <row r="73" spans="1:32" s="23" customFormat="1" ht="15.75">
      <c r="A73" s="86"/>
      <c r="B73" s="9"/>
      <c r="C73" s="9"/>
      <c r="D73" s="9"/>
      <c r="E73" s="9"/>
      <c r="F73" s="9"/>
      <c r="G73" s="9"/>
      <c r="H73" s="9"/>
      <c r="I73" s="45" t="s">
        <v>135</v>
      </c>
      <c r="J73" s="179"/>
      <c r="K73" s="113"/>
      <c r="L73" s="113"/>
      <c r="M73" s="113"/>
      <c r="N73" s="113"/>
      <c r="O73" s="113"/>
      <c r="P73" s="113"/>
      <c r="Q73" s="113"/>
      <c r="R73" s="113"/>
      <c r="S73" s="113"/>
      <c r="T73" s="113"/>
      <c r="U73" s="113"/>
      <c r="V73" s="113"/>
      <c r="W73" s="113"/>
      <c r="X73" s="113"/>
      <c r="Y73" s="113"/>
      <c r="Z73" s="113"/>
      <c r="AA73" s="113"/>
      <c r="AB73" s="113"/>
      <c r="AC73" s="113"/>
      <c r="AD73" s="113"/>
      <c r="AE73" s="113"/>
      <c r="AF73" s="180"/>
    </row>
    <row r="74" spans="1:32" s="23" customFormat="1" ht="33" customHeight="1">
      <c r="A74" s="86"/>
      <c r="B74" s="9"/>
      <c r="C74" s="9"/>
      <c r="D74" s="9"/>
      <c r="E74" s="9"/>
      <c r="F74" s="9"/>
      <c r="G74" s="9"/>
      <c r="H74" s="10"/>
      <c r="I74" s="132" t="s">
        <v>134</v>
      </c>
      <c r="J74" s="122">
        <f>+J71-J58</f>
        <v>103500</v>
      </c>
      <c r="K74" s="123">
        <f aca="true" t="shared" si="15" ref="K74:AF74">+K71-K58</f>
        <v>63500</v>
      </c>
      <c r="L74" s="123">
        <f t="shared" si="15"/>
        <v>63500</v>
      </c>
      <c r="M74" s="123">
        <f t="shared" si="15"/>
        <v>87500</v>
      </c>
      <c r="N74" s="123">
        <f t="shared" si="15"/>
        <v>83500</v>
      </c>
      <c r="O74" s="123">
        <f t="shared" si="15"/>
        <v>21500</v>
      </c>
      <c r="P74" s="123">
        <f t="shared" si="15"/>
        <v>21500</v>
      </c>
      <c r="Q74" s="123">
        <f t="shared" si="15"/>
        <v>22500</v>
      </c>
      <c r="R74" s="123">
        <f t="shared" si="15"/>
        <v>18500</v>
      </c>
      <c r="S74" s="123">
        <f t="shared" si="15"/>
        <v>18501.5</v>
      </c>
      <c r="T74" s="123">
        <f t="shared" si="15"/>
        <v>18500</v>
      </c>
      <c r="U74" s="123">
        <f t="shared" si="15"/>
        <v>22500</v>
      </c>
      <c r="V74" s="123">
        <f t="shared" si="15"/>
        <v>18500</v>
      </c>
      <c r="W74" s="123">
        <f t="shared" si="15"/>
        <v>18500</v>
      </c>
      <c r="X74" s="123">
        <f t="shared" si="15"/>
        <v>18500</v>
      </c>
      <c r="Y74" s="123">
        <f t="shared" si="15"/>
        <v>22500</v>
      </c>
      <c r="Z74" s="123">
        <f t="shared" si="15"/>
        <v>18500</v>
      </c>
      <c r="AA74" s="123">
        <f t="shared" si="15"/>
        <v>18500</v>
      </c>
      <c r="AB74" s="123">
        <f t="shared" si="15"/>
        <v>18500</v>
      </c>
      <c r="AC74" s="189">
        <f t="shared" si="15"/>
        <v>22501.5</v>
      </c>
      <c r="AD74" s="190">
        <f t="shared" si="15"/>
        <v>576816.2602988771</v>
      </c>
      <c r="AE74" s="124">
        <f t="shared" si="15"/>
        <v>329457.7135053303</v>
      </c>
      <c r="AF74" s="124">
        <f t="shared" si="15"/>
        <v>906273.9738042074</v>
      </c>
    </row>
    <row r="75" spans="1:32" s="23" customFormat="1" ht="15.75">
      <c r="A75" s="10"/>
      <c r="B75" s="9"/>
      <c r="C75" s="9"/>
      <c r="D75" s="9"/>
      <c r="E75" s="9"/>
      <c r="F75" s="9"/>
      <c r="G75" s="9"/>
      <c r="H75" s="10"/>
      <c r="I75" s="193" t="s">
        <v>139</v>
      </c>
      <c r="J75" s="122">
        <f>J58</f>
        <v>1225</v>
      </c>
      <c r="K75" s="184">
        <f aca="true" t="shared" si="16" ref="K75:AF75">K58</f>
        <v>1225</v>
      </c>
      <c r="L75" s="184">
        <f t="shared" si="16"/>
        <v>1225</v>
      </c>
      <c r="M75" s="184">
        <f t="shared" si="16"/>
        <v>1225</v>
      </c>
      <c r="N75" s="184">
        <f t="shared" si="16"/>
        <v>1225</v>
      </c>
      <c r="O75" s="184">
        <f t="shared" si="16"/>
        <v>1225</v>
      </c>
      <c r="P75" s="184">
        <f t="shared" si="16"/>
        <v>1225</v>
      </c>
      <c r="Q75" s="184">
        <f t="shared" si="16"/>
        <v>1225</v>
      </c>
      <c r="R75" s="184">
        <f t="shared" si="16"/>
        <v>1225</v>
      </c>
      <c r="S75" s="184">
        <f t="shared" si="16"/>
        <v>1225</v>
      </c>
      <c r="T75" s="184">
        <f t="shared" si="16"/>
        <v>1225</v>
      </c>
      <c r="U75" s="184">
        <f t="shared" si="16"/>
        <v>1225</v>
      </c>
      <c r="V75" s="184">
        <f t="shared" si="16"/>
        <v>1225</v>
      </c>
      <c r="W75" s="184">
        <f t="shared" si="16"/>
        <v>1225</v>
      </c>
      <c r="X75" s="184">
        <f t="shared" si="16"/>
        <v>1225</v>
      </c>
      <c r="Y75" s="184">
        <f t="shared" si="16"/>
        <v>1225</v>
      </c>
      <c r="Z75" s="184">
        <f t="shared" si="16"/>
        <v>1225</v>
      </c>
      <c r="AA75" s="184">
        <f t="shared" si="16"/>
        <v>1225</v>
      </c>
      <c r="AB75" s="184">
        <f t="shared" si="16"/>
        <v>1225</v>
      </c>
      <c r="AC75" s="185">
        <f t="shared" si="16"/>
        <v>1225</v>
      </c>
      <c r="AD75" s="190">
        <f t="shared" si="16"/>
        <v>18019.55083646277</v>
      </c>
      <c r="AE75" s="124">
        <f t="shared" si="16"/>
        <v>18205.449163537305</v>
      </c>
      <c r="AF75" s="124">
        <f t="shared" si="16"/>
        <v>36225.00000000007</v>
      </c>
    </row>
    <row r="76" spans="1:32" s="23" customFormat="1" ht="13.5" customHeight="1">
      <c r="A76" s="10"/>
      <c r="B76" s="20" t="s">
        <v>104</v>
      </c>
      <c r="C76" s="9"/>
      <c r="D76" s="9"/>
      <c r="E76" s="9"/>
      <c r="F76" s="9"/>
      <c r="G76" s="9"/>
      <c r="H76" s="10"/>
      <c r="I76" s="132" t="s">
        <v>136</v>
      </c>
      <c r="J76" s="122">
        <f>IF($C$39="Yes",(J71-J58)*0.1,0)</f>
        <v>10350</v>
      </c>
      <c r="K76" s="184">
        <f aca="true" t="shared" si="17" ref="K76:AF76">IF($C$39="Yes",(K71-K58)*0.1,0)</f>
        <v>6350</v>
      </c>
      <c r="L76" s="184">
        <f t="shared" si="17"/>
        <v>6350</v>
      </c>
      <c r="M76" s="184">
        <f t="shared" si="17"/>
        <v>8750</v>
      </c>
      <c r="N76" s="184">
        <f t="shared" si="17"/>
        <v>8350</v>
      </c>
      <c r="O76" s="184">
        <f t="shared" si="17"/>
        <v>2150</v>
      </c>
      <c r="P76" s="184">
        <f t="shared" si="17"/>
        <v>2150</v>
      </c>
      <c r="Q76" s="184">
        <f t="shared" si="17"/>
        <v>2250</v>
      </c>
      <c r="R76" s="184">
        <f t="shared" si="17"/>
        <v>1850</v>
      </c>
      <c r="S76" s="184">
        <f t="shared" si="17"/>
        <v>1850.15</v>
      </c>
      <c r="T76" s="184">
        <f t="shared" si="17"/>
        <v>1850</v>
      </c>
      <c r="U76" s="184">
        <f t="shared" si="17"/>
        <v>2250</v>
      </c>
      <c r="V76" s="184">
        <f t="shared" si="17"/>
        <v>1850</v>
      </c>
      <c r="W76" s="184">
        <f t="shared" si="17"/>
        <v>1850</v>
      </c>
      <c r="X76" s="184">
        <f t="shared" si="17"/>
        <v>1850</v>
      </c>
      <c r="Y76" s="184">
        <f t="shared" si="17"/>
        <v>2250</v>
      </c>
      <c r="Z76" s="184">
        <f t="shared" si="17"/>
        <v>1850</v>
      </c>
      <c r="AA76" s="184">
        <f t="shared" si="17"/>
        <v>1850</v>
      </c>
      <c r="AB76" s="184">
        <f t="shared" si="17"/>
        <v>1850</v>
      </c>
      <c r="AC76" s="185">
        <f t="shared" si="17"/>
        <v>2250.15</v>
      </c>
      <c r="AD76" s="190">
        <f t="shared" si="17"/>
        <v>57681.62602988772</v>
      </c>
      <c r="AE76" s="124">
        <f t="shared" si="17"/>
        <v>32945.77135053303</v>
      </c>
      <c r="AF76" s="124">
        <f t="shared" si="17"/>
        <v>90627.39738042075</v>
      </c>
    </row>
    <row r="77" spans="1:32" s="23" customFormat="1" ht="15.75" customHeight="1">
      <c r="A77" s="10"/>
      <c r="B77" s="20"/>
      <c r="C77" s="9"/>
      <c r="D77" s="9"/>
      <c r="E77" s="9"/>
      <c r="F77" s="9"/>
      <c r="G77" s="9"/>
      <c r="H77" s="10"/>
      <c r="I77" s="132"/>
      <c r="J77" s="181"/>
      <c r="K77" s="182"/>
      <c r="L77" s="182"/>
      <c r="M77" s="182"/>
      <c r="N77" s="182"/>
      <c r="O77" s="182"/>
      <c r="P77" s="182"/>
      <c r="Q77" s="182"/>
      <c r="R77" s="182"/>
      <c r="S77" s="182"/>
      <c r="T77" s="182"/>
      <c r="U77" s="182"/>
      <c r="V77" s="182"/>
      <c r="W77" s="182"/>
      <c r="X77" s="182"/>
      <c r="Y77" s="182"/>
      <c r="Z77" s="182"/>
      <c r="AA77" s="182"/>
      <c r="AB77" s="182"/>
      <c r="AC77" s="182"/>
      <c r="AD77" s="182"/>
      <c r="AE77" s="182"/>
      <c r="AF77" s="183"/>
    </row>
    <row r="78" spans="1:32" s="23" customFormat="1" ht="17.25" customHeight="1" thickBot="1">
      <c r="A78" s="10"/>
      <c r="B78" s="20"/>
      <c r="C78" s="9"/>
      <c r="D78" s="9"/>
      <c r="E78" s="9"/>
      <c r="F78" s="9"/>
      <c r="G78" s="9"/>
      <c r="H78" s="10"/>
      <c r="I78" s="132" t="s">
        <v>137</v>
      </c>
      <c r="J78" s="125">
        <f>-J76</f>
        <v>-10350</v>
      </c>
      <c r="K78" s="126">
        <f aca="true" t="shared" si="18" ref="K78:AF78">-K76</f>
        <v>-6350</v>
      </c>
      <c r="L78" s="126">
        <f t="shared" si="18"/>
        <v>-6350</v>
      </c>
      <c r="M78" s="126">
        <f t="shared" si="18"/>
        <v>-8750</v>
      </c>
      <c r="N78" s="126">
        <f t="shared" si="18"/>
        <v>-8350</v>
      </c>
      <c r="O78" s="126">
        <f t="shared" si="18"/>
        <v>-2150</v>
      </c>
      <c r="P78" s="126">
        <f t="shared" si="18"/>
        <v>-2150</v>
      </c>
      <c r="Q78" s="126">
        <f t="shared" si="18"/>
        <v>-2250</v>
      </c>
      <c r="R78" s="126">
        <f t="shared" si="18"/>
        <v>-1850</v>
      </c>
      <c r="S78" s="126">
        <f t="shared" si="18"/>
        <v>-1850.15</v>
      </c>
      <c r="T78" s="126">
        <f t="shared" si="18"/>
        <v>-1850</v>
      </c>
      <c r="U78" s="126">
        <f t="shared" si="18"/>
        <v>-2250</v>
      </c>
      <c r="V78" s="126">
        <f t="shared" si="18"/>
        <v>-1850</v>
      </c>
      <c r="W78" s="126">
        <f t="shared" si="18"/>
        <v>-1850</v>
      </c>
      <c r="X78" s="126">
        <f t="shared" si="18"/>
        <v>-1850</v>
      </c>
      <c r="Y78" s="126">
        <f t="shared" si="18"/>
        <v>-2250</v>
      </c>
      <c r="Z78" s="126">
        <f t="shared" si="18"/>
        <v>-1850</v>
      </c>
      <c r="AA78" s="126">
        <f t="shared" si="18"/>
        <v>-1850</v>
      </c>
      <c r="AB78" s="126">
        <f t="shared" si="18"/>
        <v>-1850</v>
      </c>
      <c r="AC78" s="191">
        <f t="shared" si="18"/>
        <v>-2250.15</v>
      </c>
      <c r="AD78" s="192">
        <f t="shared" si="18"/>
        <v>-57681.62602988772</v>
      </c>
      <c r="AE78" s="192">
        <f t="shared" si="18"/>
        <v>-32945.77135053303</v>
      </c>
      <c r="AF78" s="127">
        <f t="shared" si="18"/>
        <v>-90627.39738042075</v>
      </c>
    </row>
    <row r="79" spans="1:32" s="23" customFormat="1" ht="15.75">
      <c r="A79" s="90"/>
      <c r="B79" s="20"/>
      <c r="C79" s="9"/>
      <c r="D79" s="9"/>
      <c r="E79" s="9"/>
      <c r="F79" s="9"/>
      <c r="G79" s="9"/>
      <c r="H79" s="10"/>
      <c r="I79" s="45"/>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5"/>
    </row>
    <row r="80" spans="1:8" s="23" customFormat="1" ht="12.75" customHeight="1">
      <c r="A80" s="90"/>
      <c r="B80" s="10"/>
      <c r="C80" s="10"/>
      <c r="D80" s="10"/>
      <c r="E80" s="10"/>
      <c r="F80" s="10"/>
      <c r="G80" s="10"/>
      <c r="H80" s="10"/>
    </row>
    <row r="81" spans="1:8" s="23" customFormat="1" ht="13.5" customHeight="1">
      <c r="A81" s="90"/>
      <c r="B81" s="10"/>
      <c r="C81" s="10"/>
      <c r="D81" s="10"/>
      <c r="E81" s="10"/>
      <c r="F81" s="10"/>
      <c r="G81" s="10"/>
      <c r="H81" s="10"/>
    </row>
    <row r="82" spans="1:5" s="23" customFormat="1" ht="20.25" customHeight="1">
      <c r="A82" s="10"/>
      <c r="B82" s="10"/>
      <c r="C82" s="10"/>
      <c r="D82" s="10"/>
      <c r="E82" s="10"/>
    </row>
    <row r="83" spans="1:5" s="23" customFormat="1" ht="12.75">
      <c r="A83" s="10"/>
      <c r="B83" s="10"/>
      <c r="C83" s="10"/>
      <c r="D83" s="10"/>
      <c r="E83" s="10"/>
    </row>
    <row r="84" spans="1:5" s="23" customFormat="1" ht="12.75">
      <c r="A84" s="10"/>
      <c r="B84" s="10"/>
      <c r="C84" s="10"/>
      <c r="D84" s="10"/>
      <c r="E84" s="10"/>
    </row>
    <row r="85" spans="1:5" ht="12.75">
      <c r="A85" s="10"/>
      <c r="B85" s="10"/>
      <c r="C85" s="10"/>
      <c r="D85" s="10"/>
      <c r="E85" s="10"/>
    </row>
    <row r="86" spans="1:5" ht="12.75">
      <c r="A86" s="10"/>
      <c r="B86" s="10"/>
      <c r="C86" s="10"/>
      <c r="D86" s="10"/>
      <c r="E86" s="10"/>
    </row>
    <row r="87" spans="1:5" ht="12.75">
      <c r="A87" s="10"/>
      <c r="B87" s="10"/>
      <c r="C87" s="10"/>
      <c r="D87" s="10"/>
      <c r="E87" s="10"/>
    </row>
    <row r="88" spans="1:5" ht="12.75">
      <c r="A88" s="10"/>
      <c r="B88" s="10"/>
      <c r="C88" s="10"/>
      <c r="D88" s="10"/>
      <c r="E88" s="10"/>
    </row>
    <row r="89" spans="1:5" ht="23.25">
      <c r="A89" s="10"/>
      <c r="B89" s="8" t="s">
        <v>86</v>
      </c>
      <c r="C89" s="10"/>
      <c r="D89" s="10"/>
      <c r="E89" s="10"/>
    </row>
    <row r="90" spans="1:5" ht="12.75">
      <c r="A90" s="10"/>
      <c r="C90" s="10"/>
      <c r="D90" s="10"/>
      <c r="E90" s="10"/>
    </row>
    <row r="91" spans="1:5" ht="13.5" thickBot="1">
      <c r="A91" s="59"/>
      <c r="B91" s="60"/>
      <c r="C91" s="10"/>
      <c r="D91" s="10"/>
      <c r="E91" s="10"/>
    </row>
    <row r="92" spans="1:12" ht="16.5" customHeight="1" thickBot="1" thickTop="1">
      <c r="A92" s="59"/>
      <c r="B92" s="630" t="s">
        <v>4</v>
      </c>
      <c r="C92" s="631"/>
      <c r="D92" s="91" t="s">
        <v>60</v>
      </c>
      <c r="E92" s="85"/>
      <c r="F92" s="566"/>
      <c r="G92" s="567"/>
      <c r="H92" s="567"/>
      <c r="I92" s="567"/>
      <c r="J92" s="567"/>
      <c r="K92" s="567"/>
      <c r="L92" s="568"/>
    </row>
    <row r="93" spans="1:12" ht="12.75" customHeight="1">
      <c r="A93" s="59"/>
      <c r="B93" s="628" t="s">
        <v>5</v>
      </c>
      <c r="C93" s="629"/>
      <c r="D93" s="92">
        <v>200</v>
      </c>
      <c r="F93" s="542" t="s">
        <v>6</v>
      </c>
      <c r="G93" s="543"/>
      <c r="H93" s="543"/>
      <c r="I93" s="543"/>
      <c r="J93" s="543"/>
      <c r="K93" s="543"/>
      <c r="L93" s="544"/>
    </row>
    <row r="94" spans="1:12" ht="13.5" thickBot="1">
      <c r="A94" s="59"/>
      <c r="B94" s="590" t="s">
        <v>73</v>
      </c>
      <c r="C94" s="591"/>
      <c r="D94" s="93">
        <v>450</v>
      </c>
      <c r="F94" s="545"/>
      <c r="G94" s="543"/>
      <c r="H94" s="543"/>
      <c r="I94" s="543"/>
      <c r="J94" s="543"/>
      <c r="K94" s="543"/>
      <c r="L94" s="544"/>
    </row>
    <row r="95" spans="1:12" ht="13.5" thickBot="1">
      <c r="A95" s="59"/>
      <c r="B95" s="60"/>
      <c r="C95" s="94"/>
      <c r="D95" s="95"/>
      <c r="F95" s="545"/>
      <c r="G95" s="543"/>
      <c r="H95" s="543"/>
      <c r="I95" s="543"/>
      <c r="J95" s="543"/>
      <c r="K95" s="543"/>
      <c r="L95" s="544"/>
    </row>
    <row r="96" spans="1:12" ht="20.25" customHeight="1" thickBot="1">
      <c r="A96" s="625" t="s">
        <v>70</v>
      </c>
      <c r="B96" s="592" t="s">
        <v>12</v>
      </c>
      <c r="C96" s="593"/>
      <c r="D96" s="96" t="s">
        <v>60</v>
      </c>
      <c r="F96" s="545"/>
      <c r="G96" s="543"/>
      <c r="H96" s="543"/>
      <c r="I96" s="543"/>
      <c r="J96" s="543"/>
      <c r="K96" s="543"/>
      <c r="L96" s="544"/>
    </row>
    <row r="97" spans="1:12" ht="15.75" customHeight="1">
      <c r="A97" s="626"/>
      <c r="B97" s="628" t="s">
        <v>35</v>
      </c>
      <c r="C97" s="629"/>
      <c r="D97" s="97">
        <v>10000</v>
      </c>
      <c r="F97" s="545"/>
      <c r="G97" s="543"/>
      <c r="H97" s="543"/>
      <c r="I97" s="543"/>
      <c r="J97" s="543"/>
      <c r="K97" s="543"/>
      <c r="L97" s="544"/>
    </row>
    <row r="98" spans="1:12" ht="15">
      <c r="A98" s="626"/>
      <c r="B98" s="571" t="s">
        <v>59</v>
      </c>
      <c r="C98" s="572"/>
      <c r="D98" s="98">
        <f>D97*D93</f>
        <v>2000000</v>
      </c>
      <c r="F98" s="569"/>
      <c r="G98" s="570"/>
      <c r="H98" s="570"/>
      <c r="I98" s="570"/>
      <c r="J98" s="570"/>
      <c r="K98" s="570"/>
      <c r="L98" s="557"/>
    </row>
    <row r="99" spans="1:12" ht="15" customHeight="1">
      <c r="A99" s="626"/>
      <c r="B99" s="573" t="s">
        <v>36</v>
      </c>
      <c r="C99" s="574"/>
      <c r="D99" s="99">
        <v>0</v>
      </c>
      <c r="F99" s="558" t="s">
        <v>7</v>
      </c>
      <c r="G99" s="559"/>
      <c r="H99" s="559"/>
      <c r="I99" s="559"/>
      <c r="J99" s="559"/>
      <c r="K99" s="559"/>
      <c r="L99" s="560"/>
    </row>
    <row r="100" spans="1:12" ht="13.5" customHeight="1" thickBot="1">
      <c r="A100" s="626"/>
      <c r="B100" s="588" t="s">
        <v>147</v>
      </c>
      <c r="C100" s="589"/>
      <c r="D100" s="100">
        <f>D98+D99</f>
        <v>2000000</v>
      </c>
      <c r="F100" s="542" t="s">
        <v>120</v>
      </c>
      <c r="G100" s="543"/>
      <c r="H100" s="543"/>
      <c r="I100" s="543"/>
      <c r="J100" s="543"/>
      <c r="K100" s="543"/>
      <c r="L100" s="544"/>
    </row>
    <row r="101" spans="1:12" ht="13.5" thickBot="1">
      <c r="A101" s="626"/>
      <c r="B101" s="632"/>
      <c r="C101" s="633"/>
      <c r="D101" s="103"/>
      <c r="F101" s="545"/>
      <c r="G101" s="543"/>
      <c r="H101" s="543"/>
      <c r="I101" s="543"/>
      <c r="J101" s="543"/>
      <c r="K101" s="543"/>
      <c r="L101" s="544"/>
    </row>
    <row r="102" spans="1:12" ht="18" customHeight="1" thickBot="1">
      <c r="A102" s="626"/>
      <c r="B102" s="592" t="s">
        <v>13</v>
      </c>
      <c r="C102" s="593"/>
      <c r="D102" s="96" t="s">
        <v>60</v>
      </c>
      <c r="F102" s="545"/>
      <c r="G102" s="543"/>
      <c r="H102" s="543"/>
      <c r="I102" s="543"/>
      <c r="J102" s="543"/>
      <c r="K102" s="543"/>
      <c r="L102" s="544"/>
    </row>
    <row r="103" spans="1:12" ht="12.75" customHeight="1">
      <c r="A103" s="626"/>
      <c r="B103" s="628" t="s">
        <v>80</v>
      </c>
      <c r="C103" s="629"/>
      <c r="D103" s="104">
        <v>4000</v>
      </c>
      <c r="F103" s="545"/>
      <c r="G103" s="543"/>
      <c r="H103" s="543"/>
      <c r="I103" s="543"/>
      <c r="J103" s="543"/>
      <c r="K103" s="543"/>
      <c r="L103" s="544"/>
    </row>
    <row r="104" spans="1:12" ht="12.75">
      <c r="A104" s="626"/>
      <c r="B104" s="573" t="s">
        <v>79</v>
      </c>
      <c r="C104" s="574"/>
      <c r="D104" s="99">
        <v>1500</v>
      </c>
      <c r="F104" s="545"/>
      <c r="G104" s="543"/>
      <c r="H104" s="543"/>
      <c r="I104" s="543"/>
      <c r="J104" s="543"/>
      <c r="K104" s="543"/>
      <c r="L104" s="544"/>
    </row>
    <row r="105" spans="1:12" ht="12.75" customHeight="1">
      <c r="A105" s="626"/>
      <c r="B105" s="571" t="s">
        <v>14</v>
      </c>
      <c r="C105" s="572"/>
      <c r="D105" s="101">
        <v>600</v>
      </c>
      <c r="F105" s="545"/>
      <c r="G105" s="543"/>
      <c r="H105" s="543"/>
      <c r="I105" s="543"/>
      <c r="J105" s="543"/>
      <c r="K105" s="543"/>
      <c r="L105" s="544"/>
    </row>
    <row r="106" spans="1:12" ht="12.75">
      <c r="A106" s="626"/>
      <c r="B106" s="573" t="s">
        <v>41</v>
      </c>
      <c r="C106" s="574"/>
      <c r="D106" s="99">
        <v>500</v>
      </c>
      <c r="F106" s="545"/>
      <c r="G106" s="543"/>
      <c r="H106" s="543"/>
      <c r="I106" s="543"/>
      <c r="J106" s="543"/>
      <c r="K106" s="543"/>
      <c r="L106" s="544"/>
    </row>
    <row r="107" spans="1:12" ht="12.75" customHeight="1">
      <c r="A107" s="626"/>
      <c r="B107" s="573" t="s">
        <v>81</v>
      </c>
      <c r="C107" s="574"/>
      <c r="D107" s="99">
        <v>1000</v>
      </c>
      <c r="F107" s="569"/>
      <c r="G107" s="570"/>
      <c r="H107" s="570"/>
      <c r="I107" s="570"/>
      <c r="J107" s="570"/>
      <c r="K107" s="570"/>
      <c r="L107" s="557"/>
    </row>
    <row r="108" spans="1:12" ht="12.75" customHeight="1">
      <c r="A108" s="626"/>
      <c r="B108" s="575" t="s">
        <v>15</v>
      </c>
      <c r="C108" s="576"/>
      <c r="D108" s="105">
        <f>SUM(D103:D107)</f>
        <v>7600</v>
      </c>
      <c r="F108" s="542" t="s">
        <v>8</v>
      </c>
      <c r="G108" s="543"/>
      <c r="H108" s="543"/>
      <c r="I108" s="543"/>
      <c r="J108" s="543"/>
      <c r="K108" s="543"/>
      <c r="L108" s="544"/>
    </row>
    <row r="109" spans="1:12" ht="12.75" customHeight="1">
      <c r="A109" s="626"/>
      <c r="B109" s="616" t="s">
        <v>90</v>
      </c>
      <c r="C109" s="617"/>
      <c r="D109" s="106">
        <f>D108*0.1</f>
        <v>760</v>
      </c>
      <c r="F109" s="545"/>
      <c r="G109" s="546"/>
      <c r="H109" s="546"/>
      <c r="I109" s="546"/>
      <c r="J109" s="546"/>
      <c r="K109" s="546"/>
      <c r="L109" s="544"/>
    </row>
    <row r="110" spans="1:12" ht="13.5" customHeight="1" thickBot="1">
      <c r="A110" s="627"/>
      <c r="B110" s="588" t="s">
        <v>16</v>
      </c>
      <c r="C110" s="589"/>
      <c r="D110" s="102">
        <f>SUM(D108:D109)</f>
        <v>8360</v>
      </c>
      <c r="F110" s="545"/>
      <c r="G110" s="546"/>
      <c r="H110" s="546"/>
      <c r="I110" s="546"/>
      <c r="J110" s="546"/>
      <c r="K110" s="546"/>
      <c r="L110" s="544"/>
    </row>
    <row r="111" spans="1:12" ht="11.25" customHeight="1" thickBot="1">
      <c r="A111" s="70"/>
      <c r="B111" s="594"/>
      <c r="C111" s="594"/>
      <c r="D111" s="67"/>
      <c r="F111" s="545"/>
      <c r="G111" s="546"/>
      <c r="H111" s="546"/>
      <c r="I111" s="546"/>
      <c r="J111" s="546"/>
      <c r="K111" s="546"/>
      <c r="L111" s="544"/>
    </row>
    <row r="112" spans="1:12" ht="37.5" customHeight="1" thickBot="1">
      <c r="A112" s="618" t="s">
        <v>156</v>
      </c>
      <c r="B112" s="621" t="s">
        <v>159</v>
      </c>
      <c r="C112" s="622"/>
      <c r="D112" s="107" t="s">
        <v>60</v>
      </c>
      <c r="F112" s="545"/>
      <c r="G112" s="546"/>
      <c r="H112" s="546"/>
      <c r="I112" s="546"/>
      <c r="J112" s="546"/>
      <c r="K112" s="546"/>
      <c r="L112" s="544"/>
    </row>
    <row r="113" spans="1:12" ht="31.5" customHeight="1">
      <c r="A113" s="619"/>
      <c r="B113" s="623" t="s">
        <v>17</v>
      </c>
      <c r="C113" s="624"/>
      <c r="D113" s="108">
        <f>+AF71</f>
        <v>942498.9738042075</v>
      </c>
      <c r="F113" s="545"/>
      <c r="G113" s="546"/>
      <c r="H113" s="546"/>
      <c r="I113" s="546"/>
      <c r="J113" s="546"/>
      <c r="K113" s="546"/>
      <c r="L113" s="544"/>
    </row>
    <row r="114" spans="1:12" ht="65.25" customHeight="1" thickBot="1">
      <c r="A114" s="620"/>
      <c r="B114" s="588" t="s">
        <v>18</v>
      </c>
      <c r="C114" s="589"/>
      <c r="D114" s="102">
        <f>D113</f>
        <v>942498.9738042075</v>
      </c>
      <c r="F114" s="545"/>
      <c r="G114" s="546"/>
      <c r="H114" s="546"/>
      <c r="I114" s="546"/>
      <c r="J114" s="546"/>
      <c r="K114" s="546"/>
      <c r="L114" s="544"/>
    </row>
    <row r="115" spans="1:12" ht="13.5" customHeight="1" thickBot="1">
      <c r="A115" s="70"/>
      <c r="B115" s="594"/>
      <c r="C115" s="594"/>
      <c r="D115" s="67"/>
      <c r="F115" s="542" t="s">
        <v>9</v>
      </c>
      <c r="G115" s="543"/>
      <c r="H115" s="543"/>
      <c r="I115" s="543"/>
      <c r="J115" s="543"/>
      <c r="K115" s="543"/>
      <c r="L115" s="544"/>
    </row>
    <row r="116" spans="1:12" ht="20.25" customHeight="1">
      <c r="A116" s="610" t="s">
        <v>157</v>
      </c>
      <c r="B116" s="612" t="s">
        <v>150</v>
      </c>
      <c r="C116" s="613"/>
      <c r="D116" s="221" t="s">
        <v>60</v>
      </c>
      <c r="F116" s="545"/>
      <c r="G116" s="546"/>
      <c r="H116" s="546"/>
      <c r="I116" s="546"/>
      <c r="J116" s="546"/>
      <c r="K116" s="546"/>
      <c r="L116" s="544"/>
    </row>
    <row r="117" spans="1:12" ht="32.25" customHeight="1">
      <c r="A117" s="611"/>
      <c r="B117" s="238" t="s">
        <v>151</v>
      </c>
      <c r="C117" s="239"/>
      <c r="D117" s="240">
        <f>D114</f>
        <v>942498.9738042075</v>
      </c>
      <c r="F117" s="545"/>
      <c r="G117" s="546"/>
      <c r="H117" s="546"/>
      <c r="I117" s="546"/>
      <c r="J117" s="546"/>
      <c r="K117" s="546"/>
      <c r="L117" s="544"/>
    </row>
    <row r="118" spans="1:12" ht="35.25" customHeight="1">
      <c r="A118" s="611"/>
      <c r="B118" s="213" t="s">
        <v>152</v>
      </c>
      <c r="C118" s="241"/>
      <c r="D118" s="214">
        <f>D110</f>
        <v>8360</v>
      </c>
      <c r="F118" s="545"/>
      <c r="G118" s="546"/>
      <c r="H118" s="546"/>
      <c r="I118" s="546"/>
      <c r="J118" s="546"/>
      <c r="K118" s="546"/>
      <c r="L118" s="544"/>
    </row>
    <row r="119" spans="1:12" ht="30.75" customHeight="1">
      <c r="A119" s="611"/>
      <c r="B119" s="235" t="s">
        <v>71</v>
      </c>
      <c r="C119" s="236"/>
      <c r="D119" s="237">
        <f>D100</f>
        <v>2000000</v>
      </c>
      <c r="F119" s="542" t="s">
        <v>10</v>
      </c>
      <c r="G119" s="546"/>
      <c r="H119" s="546"/>
      <c r="I119" s="546"/>
      <c r="J119" s="546"/>
      <c r="K119" s="546"/>
      <c r="L119" s="544"/>
    </row>
    <row r="120" spans="1:12" ht="30.75" customHeight="1">
      <c r="A120" s="611"/>
      <c r="B120" s="219" t="s">
        <v>153</v>
      </c>
      <c r="C120" s="215"/>
      <c r="D120" s="216">
        <f>D117+D118+D119</f>
        <v>2950858.9738042075</v>
      </c>
      <c r="F120" s="545"/>
      <c r="G120" s="546"/>
      <c r="H120" s="546"/>
      <c r="I120" s="546"/>
      <c r="J120" s="546"/>
      <c r="K120" s="546"/>
      <c r="L120" s="544"/>
    </row>
    <row r="121" spans="1:12" ht="30" customHeight="1">
      <c r="A121" s="611"/>
      <c r="B121" s="250" t="s">
        <v>154</v>
      </c>
      <c r="C121" s="250"/>
      <c r="D121" s="251">
        <v>0.1</v>
      </c>
      <c r="F121" s="558"/>
      <c r="G121" s="559"/>
      <c r="H121" s="559"/>
      <c r="I121" s="559"/>
      <c r="J121" s="559"/>
      <c r="K121" s="559"/>
      <c r="L121" s="560"/>
    </row>
    <row r="122" spans="1:12" ht="24" customHeight="1">
      <c r="A122" s="220"/>
      <c r="B122" s="235" t="s">
        <v>155</v>
      </c>
      <c r="C122" s="236"/>
      <c r="D122" s="237">
        <f>D121*D120</f>
        <v>295085.89738042076</v>
      </c>
      <c r="F122" s="558" t="s">
        <v>32</v>
      </c>
      <c r="G122" s="559"/>
      <c r="H122" s="559"/>
      <c r="I122" s="559"/>
      <c r="J122" s="559"/>
      <c r="K122" s="559"/>
      <c r="L122" s="560"/>
    </row>
    <row r="123" spans="1:12" ht="24" customHeight="1">
      <c r="A123" s="222"/>
      <c r="B123" s="229" t="s">
        <v>158</v>
      </c>
      <c r="C123" s="223"/>
      <c r="D123" s="224">
        <f>SUM(D120,D122)</f>
        <v>3245944.8711846285</v>
      </c>
      <c r="F123" s="542" t="s">
        <v>34</v>
      </c>
      <c r="G123" s="543"/>
      <c r="H123" s="543"/>
      <c r="I123" s="543"/>
      <c r="J123" s="543"/>
      <c r="K123" s="543"/>
      <c r="L123" s="544"/>
    </row>
    <row r="124" spans="1:12" ht="12.75">
      <c r="A124" s="217"/>
      <c r="B124" s="212"/>
      <c r="C124" s="94"/>
      <c r="D124" s="218"/>
      <c r="F124" s="555"/>
      <c r="G124" s="556"/>
      <c r="H124" s="556"/>
      <c r="I124" s="556"/>
      <c r="J124" s="556"/>
      <c r="K124" s="556"/>
      <c r="L124" s="557"/>
    </row>
    <row r="125" spans="1:12" ht="12.75">
      <c r="A125" s="211"/>
      <c r="B125" s="212"/>
      <c r="C125" s="94"/>
      <c r="D125" s="225"/>
      <c r="F125" s="555"/>
      <c r="G125" s="556"/>
      <c r="H125" s="556"/>
      <c r="I125" s="556"/>
      <c r="J125" s="556"/>
      <c r="K125" s="556"/>
      <c r="L125" s="557"/>
    </row>
    <row r="126" spans="1:12" ht="15.75" customHeight="1">
      <c r="A126" s="595" t="s">
        <v>77</v>
      </c>
      <c r="B126" s="598" t="s">
        <v>160</v>
      </c>
      <c r="C126" s="226"/>
      <c r="D126" s="227"/>
      <c r="F126" s="555"/>
      <c r="G126" s="556"/>
      <c r="H126" s="556"/>
      <c r="I126" s="556"/>
      <c r="J126" s="556"/>
      <c r="K126" s="556"/>
      <c r="L126" s="557"/>
    </row>
    <row r="127" spans="1:12" ht="18.75" customHeight="1">
      <c r="A127" s="596"/>
      <c r="B127" s="599"/>
      <c r="C127" s="230"/>
      <c r="D127" s="231"/>
      <c r="F127" s="558"/>
      <c r="G127" s="559"/>
      <c r="H127" s="559"/>
      <c r="I127" s="559"/>
      <c r="J127" s="559"/>
      <c r="K127" s="559"/>
      <c r="L127" s="560"/>
    </row>
    <row r="128" spans="1:12" ht="17.25" customHeight="1">
      <c r="A128" s="596"/>
      <c r="B128" s="614" t="s">
        <v>74</v>
      </c>
      <c r="C128" s="603"/>
      <c r="D128" s="577">
        <f>D117/D94</f>
        <v>2094.44216400935</v>
      </c>
      <c r="F128" s="558" t="s">
        <v>33</v>
      </c>
      <c r="G128" s="559"/>
      <c r="H128" s="559"/>
      <c r="I128" s="559"/>
      <c r="J128" s="559"/>
      <c r="K128" s="559"/>
      <c r="L128" s="560"/>
    </row>
    <row r="129" spans="1:12" ht="17.25" customHeight="1">
      <c r="A129" s="596"/>
      <c r="B129" s="615"/>
      <c r="C129" s="605"/>
      <c r="D129" s="565"/>
      <c r="F129" s="542"/>
      <c r="G129" s="543"/>
      <c r="H129" s="543"/>
      <c r="I129" s="543"/>
      <c r="J129" s="543"/>
      <c r="K129" s="543"/>
      <c r="L129" s="544"/>
    </row>
    <row r="130" spans="1:12" ht="17.25" customHeight="1">
      <c r="A130" s="596"/>
      <c r="B130" s="578" t="s">
        <v>140</v>
      </c>
      <c r="C130" s="579"/>
      <c r="D130" s="242">
        <f>D118/D94</f>
        <v>18.57777777777778</v>
      </c>
      <c r="F130" s="542" t="s">
        <v>121</v>
      </c>
      <c r="G130" s="543"/>
      <c r="H130" s="543"/>
      <c r="I130" s="543"/>
      <c r="J130" s="543"/>
      <c r="K130" s="543"/>
      <c r="L130" s="544"/>
    </row>
    <row r="131" spans="1:12" ht="17.25" customHeight="1">
      <c r="A131" s="596"/>
      <c r="B131" s="578" t="s">
        <v>140</v>
      </c>
      <c r="C131" s="579"/>
      <c r="D131" s="242">
        <f>D119/D94</f>
        <v>4444.444444444444</v>
      </c>
      <c r="F131" s="555"/>
      <c r="G131" s="556"/>
      <c r="H131" s="556"/>
      <c r="I131" s="556"/>
      <c r="J131" s="556"/>
      <c r="K131" s="556"/>
      <c r="L131" s="557"/>
    </row>
    <row r="132" spans="1:12" ht="17.25" customHeight="1">
      <c r="A132" s="596"/>
      <c r="B132" s="578" t="s">
        <v>144</v>
      </c>
      <c r="C132" s="579"/>
      <c r="D132" s="242">
        <f>D122/D94</f>
        <v>655.7464386231572</v>
      </c>
      <c r="F132" s="555"/>
      <c r="G132" s="556"/>
      <c r="H132" s="556"/>
      <c r="I132" s="556"/>
      <c r="J132" s="556"/>
      <c r="K132" s="556"/>
      <c r="L132" s="557"/>
    </row>
    <row r="133" spans="1:12" ht="17.25" customHeight="1">
      <c r="A133" s="596"/>
      <c r="B133" s="608" t="s">
        <v>145</v>
      </c>
      <c r="C133" s="609"/>
      <c r="D133" s="244">
        <f>D123/D94</f>
        <v>7213.21082485473</v>
      </c>
      <c r="F133" s="555"/>
      <c r="G133" s="556"/>
      <c r="H133" s="556"/>
      <c r="I133" s="556"/>
      <c r="J133" s="556"/>
      <c r="K133" s="556"/>
      <c r="L133" s="557"/>
    </row>
    <row r="134" spans="1:12" ht="15.75" customHeight="1">
      <c r="A134" s="596"/>
      <c r="B134" s="232"/>
      <c r="C134" s="233"/>
      <c r="D134" s="234"/>
      <c r="F134" s="555"/>
      <c r="G134" s="556"/>
      <c r="H134" s="556"/>
      <c r="I134" s="556"/>
      <c r="J134" s="556"/>
      <c r="K134" s="556"/>
      <c r="L134" s="557"/>
    </row>
    <row r="135" spans="1:12" ht="16.5" customHeight="1">
      <c r="A135" s="596"/>
      <c r="B135" s="600" t="s">
        <v>83</v>
      </c>
      <c r="C135" s="601"/>
      <c r="D135" s="228">
        <v>0.75</v>
      </c>
      <c r="F135" s="555"/>
      <c r="G135" s="556"/>
      <c r="H135" s="556"/>
      <c r="I135" s="556"/>
      <c r="J135" s="556"/>
      <c r="K135" s="556"/>
      <c r="L135" s="557"/>
    </row>
    <row r="136" spans="1:12" ht="16.5" customHeight="1">
      <c r="A136" s="596"/>
      <c r="B136" s="606" t="s">
        <v>146</v>
      </c>
      <c r="C136" s="607"/>
      <c r="D136" s="243">
        <f>D123*D135</f>
        <v>2434458.6533884713</v>
      </c>
      <c r="F136" s="542" t="s">
        <v>122</v>
      </c>
      <c r="G136" s="543"/>
      <c r="H136" s="543"/>
      <c r="I136" s="543"/>
      <c r="J136" s="543"/>
      <c r="K136" s="543"/>
      <c r="L136" s="544"/>
    </row>
    <row r="137" spans="1:12" ht="18.75" customHeight="1">
      <c r="A137" s="597"/>
      <c r="B137" s="602" t="s">
        <v>148</v>
      </c>
      <c r="C137" s="603"/>
      <c r="D137" s="564">
        <f>D123/(D94*D135)</f>
        <v>9617.614433139639</v>
      </c>
      <c r="F137" s="555"/>
      <c r="G137" s="556"/>
      <c r="H137" s="556"/>
      <c r="I137" s="556"/>
      <c r="J137" s="556"/>
      <c r="K137" s="556"/>
      <c r="L137" s="557"/>
    </row>
    <row r="138" spans="1:12" ht="78.75" customHeight="1">
      <c r="A138" s="597"/>
      <c r="B138" s="604"/>
      <c r="C138" s="605"/>
      <c r="D138" s="565"/>
      <c r="F138" s="555"/>
      <c r="G138" s="556"/>
      <c r="H138" s="556"/>
      <c r="I138" s="556"/>
      <c r="J138" s="556"/>
      <c r="K138" s="556"/>
      <c r="L138" s="557"/>
    </row>
    <row r="139" spans="1:12" ht="52.5" customHeight="1">
      <c r="A139" s="75"/>
      <c r="B139" s="76"/>
      <c r="C139" s="77"/>
      <c r="D139" s="78"/>
      <c r="E139" s="52"/>
      <c r="F139" s="555"/>
      <c r="G139" s="556"/>
      <c r="H139" s="556"/>
      <c r="I139" s="556"/>
      <c r="J139" s="556"/>
      <c r="K139" s="556"/>
      <c r="L139" s="557"/>
    </row>
    <row r="140" spans="1:12" ht="12">
      <c r="A140" s="10"/>
      <c r="B140" s="10"/>
      <c r="C140" s="10"/>
      <c r="D140" s="10"/>
      <c r="E140" s="10"/>
      <c r="F140" s="555"/>
      <c r="G140" s="556"/>
      <c r="H140" s="556"/>
      <c r="I140" s="556"/>
      <c r="J140" s="556"/>
      <c r="K140" s="556"/>
      <c r="L140" s="557"/>
    </row>
    <row r="141" spans="1:12" ht="12">
      <c r="A141" s="10"/>
      <c r="C141" s="10"/>
      <c r="D141" s="10"/>
      <c r="E141" s="10"/>
      <c r="F141" s="555"/>
      <c r="G141" s="556"/>
      <c r="H141" s="556"/>
      <c r="I141" s="556"/>
      <c r="J141" s="556"/>
      <c r="K141" s="556"/>
      <c r="L141" s="557"/>
    </row>
    <row r="142" spans="1:12" ht="12.75" thickBot="1">
      <c r="A142" s="10"/>
      <c r="C142" s="10"/>
      <c r="D142" s="10"/>
      <c r="E142" s="10"/>
      <c r="F142" s="561" t="s">
        <v>11</v>
      </c>
      <c r="G142" s="562"/>
      <c r="H142" s="562"/>
      <c r="I142" s="562"/>
      <c r="J142" s="562"/>
      <c r="K142" s="562"/>
      <c r="L142" s="563"/>
    </row>
    <row r="143" spans="1:5" ht="12.75" thickTop="1">
      <c r="A143" s="10"/>
      <c r="C143" s="10"/>
      <c r="D143" s="10"/>
      <c r="E143" s="10"/>
    </row>
    <row r="144" spans="1:5" ht="12">
      <c r="A144" s="10"/>
      <c r="C144" s="10"/>
      <c r="D144" s="10"/>
      <c r="E144" s="10"/>
    </row>
    <row r="145" spans="1:5" ht="12">
      <c r="A145" s="10"/>
      <c r="B145" s="10"/>
      <c r="C145" s="10"/>
      <c r="D145" s="10"/>
      <c r="E145" s="10"/>
    </row>
    <row r="146" spans="1:5" ht="12">
      <c r="A146" s="10"/>
      <c r="B146" s="10"/>
      <c r="C146" s="10"/>
      <c r="D146" s="10"/>
      <c r="E146" s="10"/>
    </row>
    <row r="147" spans="1:5" ht="12">
      <c r="A147" s="10"/>
      <c r="B147" s="10"/>
      <c r="C147" s="10"/>
      <c r="D147" s="10"/>
      <c r="E147" s="10"/>
    </row>
    <row r="148" spans="1:5" ht="12">
      <c r="A148" s="10"/>
      <c r="B148" s="10"/>
      <c r="C148" s="10"/>
      <c r="D148" s="10"/>
      <c r="E148" s="10"/>
    </row>
    <row r="149" spans="1:5" ht="12">
      <c r="A149" s="10"/>
      <c r="B149" s="10"/>
      <c r="C149" s="10"/>
      <c r="D149" s="10"/>
      <c r="E149" s="10"/>
    </row>
    <row r="150" spans="1:5" ht="12">
      <c r="A150" s="10"/>
      <c r="B150" s="10"/>
      <c r="C150" s="10"/>
      <c r="D150" s="10"/>
      <c r="E150" s="10"/>
    </row>
    <row r="151" spans="1:5" ht="12">
      <c r="A151" s="10"/>
      <c r="B151" s="10"/>
      <c r="C151" s="10"/>
      <c r="D151" s="10"/>
      <c r="E151" s="10"/>
    </row>
    <row r="152" spans="1:5" ht="12">
      <c r="A152" s="10"/>
      <c r="B152" s="10"/>
      <c r="C152" s="10"/>
      <c r="D152" s="10"/>
      <c r="E152" s="10"/>
    </row>
    <row r="153" spans="1:5" ht="12">
      <c r="A153" s="10"/>
      <c r="B153" s="10"/>
      <c r="C153" s="10"/>
      <c r="D153" s="10"/>
      <c r="E153" s="10"/>
    </row>
    <row r="154" spans="1:5" ht="12">
      <c r="A154" s="10"/>
      <c r="B154" s="10"/>
      <c r="C154" s="10"/>
      <c r="D154" s="10"/>
      <c r="E154" s="10"/>
    </row>
    <row r="155" spans="1:5" ht="12">
      <c r="A155" s="10"/>
      <c r="B155" s="10"/>
      <c r="C155" s="10"/>
      <c r="D155" s="10"/>
      <c r="E155" s="10"/>
    </row>
    <row r="156" spans="1:5" ht="12">
      <c r="A156" s="10"/>
      <c r="B156" s="10"/>
      <c r="C156" s="10"/>
      <c r="D156" s="10"/>
      <c r="E156" s="10"/>
    </row>
    <row r="157" spans="1:5" ht="12">
      <c r="A157" s="10"/>
      <c r="B157" s="10"/>
      <c r="C157" s="10"/>
      <c r="D157" s="10"/>
      <c r="E157" s="10"/>
    </row>
    <row r="158" spans="1:5" ht="12">
      <c r="A158" s="10"/>
      <c r="B158" s="10"/>
      <c r="C158" s="10"/>
      <c r="D158" s="10"/>
      <c r="E158" s="10"/>
    </row>
    <row r="159" spans="1:5" ht="12">
      <c r="A159" s="10"/>
      <c r="B159" s="10"/>
      <c r="C159" s="10"/>
      <c r="D159" s="10"/>
      <c r="E159" s="10"/>
    </row>
    <row r="160" spans="1:5" ht="12">
      <c r="A160" s="10"/>
      <c r="B160" s="10"/>
      <c r="C160" s="10"/>
      <c r="D160" s="10"/>
      <c r="E160" s="10"/>
    </row>
    <row r="161" spans="1:5" ht="12">
      <c r="A161" s="10"/>
      <c r="B161" s="10"/>
      <c r="C161" s="10"/>
      <c r="D161" s="10"/>
      <c r="E161" s="10"/>
    </row>
    <row r="162" spans="1:5" ht="12">
      <c r="A162" s="10"/>
      <c r="B162" s="10"/>
      <c r="C162" s="10"/>
      <c r="D162" s="10"/>
      <c r="E162" s="10"/>
    </row>
    <row r="163" spans="1:5" ht="12">
      <c r="A163" s="10"/>
      <c r="B163" s="10"/>
      <c r="C163" s="10"/>
      <c r="D163" s="10"/>
      <c r="E163" s="10"/>
    </row>
    <row r="164" spans="1:5" ht="12">
      <c r="A164" s="10"/>
      <c r="B164" s="10"/>
      <c r="C164" s="10"/>
      <c r="D164" s="10"/>
      <c r="E164" s="10"/>
    </row>
    <row r="165" spans="1:5" ht="12">
      <c r="A165" s="10"/>
      <c r="B165" s="10"/>
      <c r="C165" s="10"/>
      <c r="D165" s="10"/>
      <c r="E165" s="10"/>
    </row>
    <row r="166" spans="1:5" ht="12">
      <c r="A166" s="10"/>
      <c r="B166" s="10"/>
      <c r="C166" s="10"/>
      <c r="D166" s="10"/>
      <c r="E166" s="10"/>
    </row>
    <row r="167" spans="1:5" ht="12">
      <c r="A167" s="10"/>
      <c r="B167" s="10"/>
      <c r="C167" s="10"/>
      <c r="D167" s="10"/>
      <c r="E167" s="10"/>
    </row>
    <row r="168" spans="1:5" ht="12">
      <c r="A168" s="10"/>
      <c r="B168" s="10"/>
      <c r="C168" s="10"/>
      <c r="D168" s="10"/>
      <c r="E168" s="10"/>
    </row>
    <row r="169" spans="1:5" ht="12">
      <c r="A169" s="10"/>
      <c r="B169" s="10"/>
      <c r="C169" s="10"/>
      <c r="D169" s="10"/>
      <c r="E169" s="10"/>
    </row>
    <row r="170" spans="1:5" ht="12">
      <c r="A170" s="10"/>
      <c r="B170" s="10"/>
      <c r="C170" s="10"/>
      <c r="D170" s="10"/>
      <c r="E170" s="10"/>
    </row>
    <row r="171" spans="1:5" ht="12">
      <c r="A171" s="10"/>
      <c r="B171" s="10"/>
      <c r="C171" s="10"/>
      <c r="D171" s="10"/>
      <c r="E171" s="10"/>
    </row>
    <row r="172" spans="1:5" ht="12">
      <c r="A172" s="10"/>
      <c r="B172" s="10"/>
      <c r="C172" s="10"/>
      <c r="D172" s="10"/>
      <c r="E172" s="10"/>
    </row>
    <row r="173" spans="1:5" ht="12">
      <c r="A173" s="10"/>
      <c r="B173" s="10"/>
      <c r="C173" s="10"/>
      <c r="D173" s="10"/>
      <c r="E173" s="10"/>
    </row>
    <row r="174" spans="1:5" ht="12">
      <c r="A174" s="10"/>
      <c r="B174" s="10"/>
      <c r="C174" s="10"/>
      <c r="D174" s="10"/>
      <c r="E174" s="10"/>
    </row>
    <row r="175" spans="1:5" ht="12">
      <c r="A175" s="10"/>
      <c r="B175" s="10"/>
      <c r="C175" s="10"/>
      <c r="D175" s="10"/>
      <c r="E175" s="10"/>
    </row>
    <row r="176" spans="1:5" ht="12">
      <c r="A176" s="10"/>
      <c r="B176" s="10"/>
      <c r="C176" s="10"/>
      <c r="D176" s="10"/>
      <c r="E176" s="10"/>
    </row>
  </sheetData>
  <sheetProtection/>
  <mergeCells count="101">
    <mergeCell ref="F119:L120"/>
    <mergeCell ref="B8:E8"/>
    <mergeCell ref="B11:E11"/>
    <mergeCell ref="B16:E16"/>
    <mergeCell ref="B14:E14"/>
    <mergeCell ref="B15:E15"/>
    <mergeCell ref="B12:E12"/>
    <mergeCell ref="B19:E19"/>
    <mergeCell ref="B29:E29"/>
    <mergeCell ref="B18:E18"/>
    <mergeCell ref="B5:E5"/>
    <mergeCell ref="B32:E32"/>
    <mergeCell ref="B6:E6"/>
    <mergeCell ref="B9:E9"/>
    <mergeCell ref="B10:E10"/>
    <mergeCell ref="B31:E31"/>
    <mergeCell ref="B30:E30"/>
    <mergeCell ref="B13:E13"/>
    <mergeCell ref="B17:E17"/>
    <mergeCell ref="B7:E7"/>
    <mergeCell ref="B24:E24"/>
    <mergeCell ref="B22:E22"/>
    <mergeCell ref="B20:E20"/>
    <mergeCell ref="B102:C102"/>
    <mergeCell ref="B21:E21"/>
    <mergeCell ref="B25:E25"/>
    <mergeCell ref="B23:E23"/>
    <mergeCell ref="B26:E26"/>
    <mergeCell ref="B103:C103"/>
    <mergeCell ref="B104:C104"/>
    <mergeCell ref="B92:C92"/>
    <mergeCell ref="B93:C93"/>
    <mergeCell ref="B97:C97"/>
    <mergeCell ref="B98:C98"/>
    <mergeCell ref="B99:C99"/>
    <mergeCell ref="B100:C100"/>
    <mergeCell ref="B101:C101"/>
    <mergeCell ref="A116:A121"/>
    <mergeCell ref="B116:C116"/>
    <mergeCell ref="B128:C129"/>
    <mergeCell ref="B109:C109"/>
    <mergeCell ref="B110:C110"/>
    <mergeCell ref="B111:C111"/>
    <mergeCell ref="A112:A114"/>
    <mergeCell ref="B112:C112"/>
    <mergeCell ref="B113:C113"/>
    <mergeCell ref="A96:A110"/>
    <mergeCell ref="A126:A138"/>
    <mergeCell ref="B126:B127"/>
    <mergeCell ref="B135:C135"/>
    <mergeCell ref="B137:C138"/>
    <mergeCell ref="B136:C136"/>
    <mergeCell ref="B133:C133"/>
    <mergeCell ref="B131:C131"/>
    <mergeCell ref="B132:C132"/>
    <mergeCell ref="F115:L118"/>
    <mergeCell ref="B27:E27"/>
    <mergeCell ref="B48:B49"/>
    <mergeCell ref="C48:C49"/>
    <mergeCell ref="D48:F48"/>
    <mergeCell ref="B28:E28"/>
    <mergeCell ref="B114:C114"/>
    <mergeCell ref="B94:C94"/>
    <mergeCell ref="B96:C96"/>
    <mergeCell ref="B115:C115"/>
    <mergeCell ref="B105:C105"/>
    <mergeCell ref="B106:C106"/>
    <mergeCell ref="B107:C107"/>
    <mergeCell ref="B108:C108"/>
    <mergeCell ref="D128:D129"/>
    <mergeCell ref="B130:C130"/>
    <mergeCell ref="F142:L142"/>
    <mergeCell ref="D137:D138"/>
    <mergeCell ref="F92:L92"/>
    <mergeCell ref="F93:L97"/>
    <mergeCell ref="F98:L98"/>
    <mergeCell ref="F99:L99"/>
    <mergeCell ref="F100:L106"/>
    <mergeCell ref="F107:L107"/>
    <mergeCell ref="F121:L121"/>
    <mergeCell ref="F122:L122"/>
    <mergeCell ref="G48:I48"/>
    <mergeCell ref="J48:AC48"/>
    <mergeCell ref="AD48:AD49"/>
    <mergeCell ref="AE48:AE49"/>
    <mergeCell ref="F130:L135"/>
    <mergeCell ref="F136:L141"/>
    <mergeCell ref="F123:L126"/>
    <mergeCell ref="F127:L127"/>
    <mergeCell ref="F128:L128"/>
    <mergeCell ref="F129:L129"/>
    <mergeCell ref="J36:K36"/>
    <mergeCell ref="J69:AC69"/>
    <mergeCell ref="AD69:AD70"/>
    <mergeCell ref="AE69:AE70"/>
    <mergeCell ref="F108:L114"/>
    <mergeCell ref="AF69:AF70"/>
    <mergeCell ref="AF48:AF49"/>
    <mergeCell ref="D57:F57"/>
    <mergeCell ref="G57:I57"/>
    <mergeCell ref="J57:AC57"/>
  </mergeCells>
  <conditionalFormatting sqref="E59:E62 E50:E56">
    <cfRule type="expression" priority="1" dxfId="0" stopIfTrue="1">
      <formula>IF(ISBLANK(E50),FALSE,IF(D50&gt;E50,TRUE,FALSE))</formula>
    </cfRule>
  </conditionalFormatting>
  <conditionalFormatting sqref="H59:H62 H50:H56">
    <cfRule type="expression" priority="2" dxfId="0" stopIfTrue="1">
      <formula>IF(H50&gt;0,FALSE,IF(ISBLANK(H50),FALSE,TRUE))</formula>
    </cfRule>
    <cfRule type="expression" priority="3" dxfId="0" stopIfTrue="1">
      <formula>IF(ISBLANK(H50),FALSE,IF(H50&gt;=G50,FALSE,TRUE))</formula>
    </cfRule>
  </conditionalFormatting>
  <conditionalFormatting sqref="G59:G62 G50:G56">
    <cfRule type="expression" priority="4" dxfId="0" stopIfTrue="1">
      <formula>IF(G50&gt;0,FALSE,IF(ISBLANK(G50),FALSE,TRUE))</formula>
    </cfRule>
    <cfRule type="expression" priority="5" dxfId="0" stopIfTrue="1">
      <formula>IF(ISBLANK(H50),FALSE,IF(H50&gt;=G50,FALSE,TRUE))</formula>
    </cfRule>
  </conditionalFormatting>
  <conditionalFormatting sqref="D59:D62 D50:D56">
    <cfRule type="expression" priority="6" dxfId="0" stopIfTrue="1">
      <formula>IF(ISBLANK(E50),FALSE,IF(D50&gt;E50,TRUE,FALSE))</formula>
    </cfRule>
    <cfRule type="expression" priority="7" dxfId="0" stopIfTrue="1">
      <formula>IF(ISBLANK(B50),FALSE,IF(ISBLANK(D50),TRUE,FALSE))</formula>
    </cfRule>
  </conditionalFormatting>
  <dataValidations count="4">
    <dataValidation type="list" allowBlank="1" showInputMessage="1" showErrorMessage="1" sqref="E59:F62 E50:F56">
      <formula1>$C$91:$C$111</formula1>
    </dataValidation>
    <dataValidation type="list" allowBlank="1" showInputMessage="1" showErrorMessage="1" sqref="D59:D62">
      <formula1>$C$92:$C$111</formula1>
    </dataValidation>
    <dataValidation type="list" showInputMessage="1" showErrorMessage="1" sqref="D50:D56">
      <formula1>$C$92:$C$111</formula1>
    </dataValidation>
    <dataValidation type="list" allowBlank="1" showInputMessage="1" showErrorMessage="1" sqref="C39">
      <formula1>YesNo</formula1>
    </dataValidation>
  </dataValidations>
  <printOptions/>
  <pageMargins left="0.5511811023622047" right="0.31496062992125984" top="0.984251968503937" bottom="0.984251968503937" header="0.5118110236220472" footer="0.5118110236220472"/>
  <pageSetup fitToHeight="3" horizontalDpi="600" verticalDpi="600" orientation="landscape" paperSize="9" scale="25" r:id="rId3"/>
  <rowBreaks count="2" manualBreakCount="2">
    <brk id="33" max="31" man="1"/>
    <brk id="88" max="31" man="1"/>
  </rowBreaks>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B2:J78"/>
  <sheetViews>
    <sheetView showGridLines="0" zoomScale="85" zoomScaleNormal="85" zoomScaleSheetLayoutView="100" zoomScalePageLayoutView="0" workbookViewId="0" topLeftCell="A17">
      <selection activeCell="B5" sqref="B5:G48"/>
    </sheetView>
  </sheetViews>
  <sheetFormatPr defaultColWidth="9.140625" defaultRowHeight="12.75"/>
  <cols>
    <col min="1" max="1" width="9.140625" style="59" customWidth="1"/>
    <col min="2" max="2" width="4.7109375" style="59" customWidth="1"/>
    <col min="3" max="3" width="87.8515625" style="356" customWidth="1"/>
    <col min="4" max="4" width="14.00390625" style="61" customWidth="1"/>
    <col min="5" max="8" width="14.00390625" style="62" customWidth="1"/>
    <col min="9" max="9" width="9.140625" style="59" customWidth="1"/>
    <col min="10" max="10" width="11.421875" style="59" customWidth="1"/>
    <col min="11" max="16384" width="9.140625" style="59" customWidth="1"/>
  </cols>
  <sheetData>
    <row r="1" ht="14.25" customHeight="1"/>
    <row r="2" spans="2:8" ht="24" customHeight="1">
      <c r="B2" s="539" t="s">
        <v>185</v>
      </c>
      <c r="C2" s="540"/>
      <c r="D2" s="540"/>
      <c r="E2" s="540"/>
      <c r="F2" s="540"/>
      <c r="G2" s="540"/>
      <c r="H2" s="540"/>
    </row>
    <row r="3" spans="2:8" ht="12.75" customHeight="1">
      <c r="B3" s="63"/>
      <c r="C3" s="384"/>
      <c r="D3" s="64"/>
      <c r="E3" s="64"/>
      <c r="F3" s="64"/>
      <c r="G3" s="64"/>
      <c r="H3" s="64"/>
    </row>
    <row r="4" ht="13.5" thickBot="1">
      <c r="C4" s="357"/>
    </row>
    <row r="5" spans="2:8" ht="33.75" customHeight="1" thickBot="1">
      <c r="B5" s="490" t="s">
        <v>170</v>
      </c>
      <c r="C5" s="358" t="s">
        <v>181</v>
      </c>
      <c r="D5" s="326" t="s">
        <v>84</v>
      </c>
      <c r="E5" s="327" t="s">
        <v>37</v>
      </c>
      <c r="F5" s="328" t="s">
        <v>38</v>
      </c>
      <c r="G5" s="327" t="s">
        <v>39</v>
      </c>
      <c r="H5" s="329" t="s">
        <v>40</v>
      </c>
    </row>
    <row r="6" spans="2:8" ht="19.5" customHeight="1">
      <c r="B6" s="491"/>
      <c r="C6" s="359" t="s">
        <v>182</v>
      </c>
      <c r="D6" s="157">
        <v>200</v>
      </c>
      <c r="E6" s="158"/>
      <c r="F6" s="159"/>
      <c r="G6" s="158"/>
      <c r="H6" s="160"/>
    </row>
    <row r="7" spans="2:8" ht="19.5" customHeight="1" thickBot="1">
      <c r="B7" s="492"/>
      <c r="C7" s="360" t="s">
        <v>73</v>
      </c>
      <c r="D7" s="161">
        <v>450</v>
      </c>
      <c r="E7" s="162">
        <v>1</v>
      </c>
      <c r="F7" s="163">
        <v>1</v>
      </c>
      <c r="G7" s="162">
        <v>1</v>
      </c>
      <c r="H7" s="164">
        <v>1</v>
      </c>
    </row>
    <row r="8" spans="4:8" ht="30" customHeight="1" thickBot="1">
      <c r="D8" s="65"/>
      <c r="E8" s="65"/>
      <c r="F8" s="65"/>
      <c r="G8" s="65"/>
      <c r="H8" s="65"/>
    </row>
    <row r="9" spans="2:8" ht="35.25" customHeight="1" thickBot="1">
      <c r="B9" s="493" t="s">
        <v>70</v>
      </c>
      <c r="C9" s="388" t="s">
        <v>183</v>
      </c>
      <c r="D9" s="389" t="s">
        <v>84</v>
      </c>
      <c r="E9" s="390" t="s">
        <v>37</v>
      </c>
      <c r="F9" s="389" t="s">
        <v>38</v>
      </c>
      <c r="G9" s="390" t="s">
        <v>39</v>
      </c>
      <c r="H9" s="391" t="s">
        <v>40</v>
      </c>
    </row>
    <row r="10" spans="2:8" ht="19.5" customHeight="1">
      <c r="B10" s="494"/>
      <c r="C10" s="361" t="s">
        <v>188</v>
      </c>
      <c r="D10" s="154">
        <v>4000</v>
      </c>
      <c r="E10" s="155"/>
      <c r="F10" s="154"/>
      <c r="G10" s="155"/>
      <c r="H10" s="156"/>
    </row>
    <row r="11" spans="2:8" s="66" customFormat="1" ht="19.5" customHeight="1">
      <c r="B11" s="494"/>
      <c r="C11" s="362" t="s">
        <v>187</v>
      </c>
      <c r="D11" s="142">
        <v>1500</v>
      </c>
      <c r="E11" s="141"/>
      <c r="F11" s="142"/>
      <c r="G11" s="141"/>
      <c r="H11" s="143"/>
    </row>
    <row r="12" spans="2:8" ht="19.5" customHeight="1">
      <c r="B12" s="494"/>
      <c r="C12" s="363" t="s">
        <v>189</v>
      </c>
      <c r="D12" s="152">
        <v>612</v>
      </c>
      <c r="E12" s="151">
        <v>612</v>
      </c>
      <c r="F12" s="152">
        <v>612</v>
      </c>
      <c r="G12" s="151">
        <v>612</v>
      </c>
      <c r="H12" s="153">
        <v>612</v>
      </c>
    </row>
    <row r="13" spans="2:8" ht="19.5" customHeight="1">
      <c r="B13" s="494"/>
      <c r="C13" s="362" t="s">
        <v>186</v>
      </c>
      <c r="D13" s="142">
        <v>500</v>
      </c>
      <c r="E13" s="141"/>
      <c r="F13" s="142"/>
      <c r="G13" s="141"/>
      <c r="H13" s="143"/>
    </row>
    <row r="14" spans="2:8" s="66" customFormat="1" ht="19.5" customHeight="1">
      <c r="B14" s="494"/>
      <c r="C14" s="362" t="s">
        <v>190</v>
      </c>
      <c r="D14" s="141">
        <v>1000</v>
      </c>
      <c r="E14" s="141"/>
      <c r="F14" s="142"/>
      <c r="G14" s="141"/>
      <c r="H14" s="143"/>
    </row>
    <row r="15" spans="2:8" ht="19.5" customHeight="1" thickBot="1">
      <c r="B15" s="494"/>
      <c r="C15" s="364" t="s">
        <v>196</v>
      </c>
      <c r="D15" s="200">
        <f>SUM(D10:D14)</f>
        <v>7612</v>
      </c>
      <c r="E15" s="201">
        <f>SUM(E10:E14)</f>
        <v>612</v>
      </c>
      <c r="F15" s="200">
        <f>SUM(F10:F14)</f>
        <v>612</v>
      </c>
      <c r="G15" s="201">
        <f>SUM(G10:G14)</f>
        <v>612</v>
      </c>
      <c r="H15" s="202">
        <f>SUM(H10:H14)</f>
        <v>612</v>
      </c>
    </row>
    <row r="16" spans="2:8" ht="19.5" customHeight="1">
      <c r="B16" s="494"/>
      <c r="C16" s="361" t="s">
        <v>89</v>
      </c>
      <c r="D16" s="149">
        <v>0.1</v>
      </c>
      <c r="E16" s="148"/>
      <c r="F16" s="149"/>
      <c r="G16" s="148"/>
      <c r="H16" s="150"/>
    </row>
    <row r="17" spans="2:8" ht="19.5" customHeight="1">
      <c r="B17" s="494"/>
      <c r="C17" s="363" t="s">
        <v>82</v>
      </c>
      <c r="D17" s="152">
        <f>D15*D16</f>
        <v>761.2</v>
      </c>
      <c r="E17" s="151">
        <f>E15*E16</f>
        <v>0</v>
      </c>
      <c r="F17" s="152">
        <f>F15*F16</f>
        <v>0</v>
      </c>
      <c r="G17" s="151">
        <f>G15*G16</f>
        <v>0</v>
      </c>
      <c r="H17" s="153">
        <f>H15*H16</f>
        <v>0</v>
      </c>
    </row>
    <row r="18" spans="2:8" ht="19.5" customHeight="1" thickBot="1">
      <c r="B18" s="494"/>
      <c r="C18" s="392" t="s">
        <v>194</v>
      </c>
      <c r="D18" s="393">
        <f>SUM(D15+D17)</f>
        <v>8373.2</v>
      </c>
      <c r="E18" s="394">
        <f>SUM(E15+E17)</f>
        <v>612</v>
      </c>
      <c r="F18" s="393">
        <f>SUM(F15+F17)</f>
        <v>612</v>
      </c>
      <c r="G18" s="394">
        <f>SUM(G15+G17)</f>
        <v>612</v>
      </c>
      <c r="H18" s="395">
        <f>SUM(H15+H17)</f>
        <v>612</v>
      </c>
    </row>
    <row r="19" spans="2:8" ht="13.5" thickBot="1">
      <c r="B19" s="494"/>
      <c r="C19" s="365"/>
      <c r="D19" s="272"/>
      <c r="E19" s="273"/>
      <c r="F19" s="273"/>
      <c r="G19" s="273"/>
      <c r="H19" s="274"/>
    </row>
    <row r="20" spans="2:8" ht="33" customHeight="1" thickBot="1">
      <c r="B20" s="494"/>
      <c r="C20" s="388" t="s">
        <v>191</v>
      </c>
      <c r="D20" s="389" t="s">
        <v>84</v>
      </c>
      <c r="E20" s="390" t="s">
        <v>37</v>
      </c>
      <c r="F20" s="389" t="s">
        <v>38</v>
      </c>
      <c r="G20" s="390" t="s">
        <v>39</v>
      </c>
      <c r="H20" s="391" t="s">
        <v>40</v>
      </c>
    </row>
    <row r="21" spans="2:8" s="69" customFormat="1" ht="19.5" customHeight="1">
      <c r="B21" s="494"/>
      <c r="C21" s="361" t="s">
        <v>85</v>
      </c>
      <c r="D21" s="136">
        <v>10000</v>
      </c>
      <c r="E21" s="135"/>
      <c r="F21" s="136"/>
      <c r="G21" s="135"/>
      <c r="H21" s="137"/>
    </row>
    <row r="22" spans="2:8" s="69" customFormat="1" ht="19.5" customHeight="1">
      <c r="B22" s="494"/>
      <c r="C22" s="363" t="s">
        <v>59</v>
      </c>
      <c r="D22" s="139">
        <f>D21*D6</f>
        <v>2000000</v>
      </c>
      <c r="E22" s="138">
        <f>E21*E6</f>
        <v>0</v>
      </c>
      <c r="F22" s="139">
        <f>F21*F6</f>
        <v>0</v>
      </c>
      <c r="G22" s="138">
        <f>G21*G6</f>
        <v>0</v>
      </c>
      <c r="H22" s="140">
        <f>H21*H6</f>
        <v>0</v>
      </c>
    </row>
    <row r="23" spans="2:8" s="69" customFormat="1" ht="19.5" customHeight="1">
      <c r="B23" s="494"/>
      <c r="C23" s="362" t="s">
        <v>195</v>
      </c>
      <c r="D23" s="142">
        <v>0</v>
      </c>
      <c r="E23" s="141"/>
      <c r="F23" s="142"/>
      <c r="G23" s="141"/>
      <c r="H23" s="143"/>
    </row>
    <row r="24" spans="2:8" s="69" customFormat="1" ht="19.5" customHeight="1" thickBot="1">
      <c r="B24" s="495"/>
      <c r="C24" s="366" t="s">
        <v>71</v>
      </c>
      <c r="D24" s="145">
        <f>D22+D23</f>
        <v>2000000</v>
      </c>
      <c r="E24" s="144">
        <f>E22+E23</f>
        <v>0</v>
      </c>
      <c r="F24" s="145">
        <f>F22+F23</f>
        <v>0</v>
      </c>
      <c r="G24" s="144">
        <f>G22+G23</f>
        <v>0</v>
      </c>
      <c r="H24" s="146">
        <f>H22+H23</f>
        <v>0</v>
      </c>
    </row>
    <row r="25" spans="2:8" s="66" customFormat="1" ht="30" customHeight="1" thickBot="1">
      <c r="B25" s="70"/>
      <c r="C25" s="367"/>
      <c r="D25" s="67"/>
      <c r="E25" s="67"/>
      <c r="F25" s="67"/>
      <c r="G25" s="67"/>
      <c r="H25" s="67"/>
    </row>
    <row r="26" spans="2:10" ht="39.75" customHeight="1" thickBot="1">
      <c r="B26" s="496" t="s">
        <v>69</v>
      </c>
      <c r="C26" s="383" t="s">
        <v>149</v>
      </c>
      <c r="D26" s="71" t="s">
        <v>84</v>
      </c>
      <c r="E26" s="72" t="s">
        <v>37</v>
      </c>
      <c r="F26" s="73" t="s">
        <v>38</v>
      </c>
      <c r="G26" s="72" t="s">
        <v>39</v>
      </c>
      <c r="H26" s="74" t="s">
        <v>40</v>
      </c>
      <c r="J26" s="117" t="s">
        <v>193</v>
      </c>
    </row>
    <row r="27" spans="2:10" ht="39.75" customHeight="1" thickBot="1">
      <c r="B27" s="497"/>
      <c r="C27" s="368" t="s">
        <v>192</v>
      </c>
      <c r="D27" s="280">
        <v>722864.2509994329</v>
      </c>
      <c r="E27" s="281"/>
      <c r="F27" s="281"/>
      <c r="G27" s="281"/>
      <c r="H27" s="282"/>
      <c r="J27" s="116">
        <f>+'Total Fund Deposit'!$AC$40</f>
        <v>53696.249999999985</v>
      </c>
    </row>
    <row r="28" spans="2:8" s="66" customFormat="1" ht="30" customHeight="1" thickBot="1">
      <c r="B28" s="70"/>
      <c r="C28" s="367"/>
      <c r="D28" s="67"/>
      <c r="E28" s="67"/>
      <c r="F28" s="67"/>
      <c r="G28" s="67"/>
      <c r="H28" s="67"/>
    </row>
    <row r="29" spans="2:8" s="66" customFormat="1" ht="27" customHeight="1" thickBot="1">
      <c r="B29" s="498" t="s">
        <v>78</v>
      </c>
      <c r="C29" s="358" t="s">
        <v>133</v>
      </c>
      <c r="D29" s="195" t="s">
        <v>84</v>
      </c>
      <c r="E29" s="196" t="s">
        <v>37</v>
      </c>
      <c r="F29" s="195" t="s">
        <v>38</v>
      </c>
      <c r="G29" s="196" t="s">
        <v>39</v>
      </c>
      <c r="H29" s="197" t="s">
        <v>40</v>
      </c>
    </row>
    <row r="30" spans="2:8" s="75" customFormat="1" ht="19.5" customHeight="1">
      <c r="B30" s="499"/>
      <c r="C30" s="369" t="s">
        <v>149</v>
      </c>
      <c r="D30" s="203">
        <f>D27</f>
        <v>722864.2509994329</v>
      </c>
      <c r="E30" s="204">
        <f>E27</f>
        <v>0</v>
      </c>
      <c r="F30" s="205">
        <f>F27</f>
        <v>0</v>
      </c>
      <c r="G30" s="204">
        <f>G27</f>
        <v>0</v>
      </c>
      <c r="H30" s="206">
        <f>H27</f>
        <v>0</v>
      </c>
    </row>
    <row r="31" spans="2:8" s="75" customFormat="1" ht="19.5" customHeight="1">
      <c r="B31" s="499"/>
      <c r="C31" s="396" t="s">
        <v>72</v>
      </c>
      <c r="D31" s="397">
        <f>D18</f>
        <v>8373.2</v>
      </c>
      <c r="E31" s="398">
        <f>E18</f>
        <v>612</v>
      </c>
      <c r="F31" s="399">
        <f>F18</f>
        <v>612</v>
      </c>
      <c r="G31" s="398">
        <f>G18</f>
        <v>612</v>
      </c>
      <c r="H31" s="400">
        <f>H18</f>
        <v>612</v>
      </c>
    </row>
    <row r="32" spans="2:8" s="75" customFormat="1" ht="19.5" customHeight="1" thickBot="1">
      <c r="B32" s="499"/>
      <c r="C32" s="401" t="s">
        <v>71</v>
      </c>
      <c r="D32" s="402">
        <f>D24</f>
        <v>2000000</v>
      </c>
      <c r="E32" s="403">
        <f>E24</f>
        <v>0</v>
      </c>
      <c r="F32" s="404">
        <f>F24</f>
        <v>0</v>
      </c>
      <c r="G32" s="403">
        <f>G24</f>
        <v>0</v>
      </c>
      <c r="H32" s="405">
        <f>H24</f>
        <v>0</v>
      </c>
    </row>
    <row r="33" spans="2:8" s="75" customFormat="1" ht="19.5" customHeight="1" thickBot="1">
      <c r="B33" s="499"/>
      <c r="C33" s="371" t="s">
        <v>143</v>
      </c>
      <c r="D33" s="207">
        <f>D30+D31+D32</f>
        <v>2731237.4509994327</v>
      </c>
      <c r="E33" s="208">
        <f>E30+E31+E32</f>
        <v>612</v>
      </c>
      <c r="F33" s="209">
        <f>F30+F31+F32</f>
        <v>612</v>
      </c>
      <c r="G33" s="208">
        <f>G30+G31+G32</f>
        <v>612</v>
      </c>
      <c r="H33" s="210">
        <f>H30+H31+H32</f>
        <v>612</v>
      </c>
    </row>
    <row r="34" spans="2:8" s="75" customFormat="1" ht="19.5" customHeight="1">
      <c r="B34" s="499"/>
      <c r="C34" s="372" t="s">
        <v>142</v>
      </c>
      <c r="D34" s="147">
        <v>0.1</v>
      </c>
      <c r="E34" s="148"/>
      <c r="F34" s="149"/>
      <c r="G34" s="148"/>
      <c r="H34" s="150"/>
    </row>
    <row r="35" spans="2:8" s="75" customFormat="1" ht="19.5" customHeight="1" thickBot="1">
      <c r="B35" s="499"/>
      <c r="C35" s="373" t="s">
        <v>199</v>
      </c>
      <c r="D35" s="338">
        <f>D33*D34</f>
        <v>273123.7450999433</v>
      </c>
      <c r="E35" s="339">
        <f>E33*E34</f>
        <v>0</v>
      </c>
      <c r="F35" s="340">
        <f>F33*F34</f>
        <v>0</v>
      </c>
      <c r="G35" s="339">
        <f>G33*G34</f>
        <v>0</v>
      </c>
      <c r="H35" s="341">
        <f>H33*H34</f>
        <v>0</v>
      </c>
    </row>
    <row r="36" spans="2:8" s="75" customFormat="1" ht="19.5" customHeight="1" thickBot="1">
      <c r="B36" s="500"/>
      <c r="C36" s="374" t="s">
        <v>200</v>
      </c>
      <c r="D36" s="207">
        <f>D33+D35</f>
        <v>3004361.196099376</v>
      </c>
      <c r="E36" s="208">
        <f>E33+E35</f>
        <v>612</v>
      </c>
      <c r="F36" s="209">
        <f>F33+F35</f>
        <v>612</v>
      </c>
      <c r="G36" s="208">
        <f>G33+G35</f>
        <v>612</v>
      </c>
      <c r="H36" s="210">
        <f>H33+H35</f>
        <v>612</v>
      </c>
    </row>
    <row r="37" spans="2:9" s="75" customFormat="1" ht="30" customHeight="1" thickBot="1">
      <c r="B37" s="133"/>
      <c r="C37" s="375"/>
      <c r="D37" s="67"/>
      <c r="E37" s="67"/>
      <c r="F37" s="67"/>
      <c r="G37" s="67"/>
      <c r="H37" s="67"/>
      <c r="I37" s="134"/>
    </row>
    <row r="38" spans="2:8" s="75" customFormat="1" ht="30" customHeight="1" thickBot="1">
      <c r="B38" s="498" t="s">
        <v>77</v>
      </c>
      <c r="C38" s="358" t="s">
        <v>58</v>
      </c>
      <c r="D38" s="326" t="s">
        <v>84</v>
      </c>
      <c r="E38" s="327" t="s">
        <v>37</v>
      </c>
      <c r="F38" s="328" t="s">
        <v>38</v>
      </c>
      <c r="G38" s="327" t="s">
        <v>39</v>
      </c>
      <c r="H38" s="329" t="s">
        <v>40</v>
      </c>
    </row>
    <row r="39" spans="2:8" s="75" customFormat="1" ht="19.5" customHeight="1">
      <c r="B39" s="537"/>
      <c r="C39" s="369" t="s">
        <v>74</v>
      </c>
      <c r="D39" s="203">
        <f aca="true" t="shared" si="0" ref="D39:H41">D30/D$7</f>
        <v>1606.365002220962</v>
      </c>
      <c r="E39" s="204">
        <f t="shared" si="0"/>
        <v>0</v>
      </c>
      <c r="F39" s="205">
        <f t="shared" si="0"/>
        <v>0</v>
      </c>
      <c r="G39" s="204">
        <f t="shared" si="0"/>
        <v>0</v>
      </c>
      <c r="H39" s="206">
        <f t="shared" si="0"/>
        <v>0</v>
      </c>
    </row>
    <row r="40" spans="2:8" s="75" customFormat="1" ht="19.5" customHeight="1">
      <c r="B40" s="537"/>
      <c r="C40" s="376" t="s">
        <v>140</v>
      </c>
      <c r="D40" s="342">
        <f t="shared" si="0"/>
        <v>18.607111111111113</v>
      </c>
      <c r="E40" s="343">
        <f t="shared" si="0"/>
        <v>612</v>
      </c>
      <c r="F40" s="344">
        <f t="shared" si="0"/>
        <v>612</v>
      </c>
      <c r="G40" s="343">
        <f t="shared" si="0"/>
        <v>612</v>
      </c>
      <c r="H40" s="345">
        <f t="shared" si="0"/>
        <v>612</v>
      </c>
    </row>
    <row r="41" spans="2:8" s="75" customFormat="1" ht="19.5" customHeight="1">
      <c r="B41" s="537"/>
      <c r="C41" s="370" t="s">
        <v>197</v>
      </c>
      <c r="D41" s="342">
        <f t="shared" si="0"/>
        <v>4444.444444444444</v>
      </c>
      <c r="E41" s="343">
        <f t="shared" si="0"/>
        <v>0</v>
      </c>
      <c r="F41" s="344">
        <f t="shared" si="0"/>
        <v>0</v>
      </c>
      <c r="G41" s="343">
        <f t="shared" si="0"/>
        <v>0</v>
      </c>
      <c r="H41" s="345">
        <f t="shared" si="0"/>
        <v>0</v>
      </c>
    </row>
    <row r="42" spans="2:8" s="75" customFormat="1" ht="19.5" customHeight="1">
      <c r="B42" s="537"/>
      <c r="C42" s="377" t="s">
        <v>144</v>
      </c>
      <c r="D42" s="346">
        <f aca="true" t="shared" si="1" ref="D42:H43">D35/D$7</f>
        <v>606.9416557776518</v>
      </c>
      <c r="E42" s="347">
        <f t="shared" si="1"/>
        <v>0</v>
      </c>
      <c r="F42" s="348">
        <f t="shared" si="1"/>
        <v>0</v>
      </c>
      <c r="G42" s="347">
        <f t="shared" si="1"/>
        <v>0</v>
      </c>
      <c r="H42" s="349">
        <f t="shared" si="1"/>
        <v>0</v>
      </c>
    </row>
    <row r="43" spans="2:8" s="75" customFormat="1" ht="19.5" customHeight="1">
      <c r="B43" s="537"/>
      <c r="C43" s="378" t="s">
        <v>198</v>
      </c>
      <c r="D43" s="330">
        <f t="shared" si="1"/>
        <v>6676.358213554168</v>
      </c>
      <c r="E43" s="331">
        <f t="shared" si="1"/>
        <v>612</v>
      </c>
      <c r="F43" s="332">
        <f t="shared" si="1"/>
        <v>612</v>
      </c>
      <c r="G43" s="331">
        <f t="shared" si="1"/>
        <v>612</v>
      </c>
      <c r="H43" s="333">
        <f t="shared" si="1"/>
        <v>612</v>
      </c>
    </row>
    <row r="44" spans="2:8" s="66" customFormat="1" ht="19.5" customHeight="1">
      <c r="B44" s="537"/>
      <c r="C44" s="377"/>
      <c r="D44" s="198"/>
      <c r="E44" s="80"/>
      <c r="F44" s="80"/>
      <c r="G44" s="80"/>
      <c r="H44" s="165"/>
    </row>
    <row r="45" spans="2:8" ht="19.5" customHeight="1">
      <c r="B45" s="537"/>
      <c r="C45" s="379" t="s">
        <v>83</v>
      </c>
      <c r="D45" s="199">
        <v>0.75</v>
      </c>
      <c r="E45" s="167">
        <v>1</v>
      </c>
      <c r="F45" s="166">
        <v>1</v>
      </c>
      <c r="G45" s="167">
        <v>1</v>
      </c>
      <c r="H45" s="168">
        <v>1</v>
      </c>
    </row>
    <row r="46" spans="2:8" s="75" customFormat="1" ht="19.5" customHeight="1">
      <c r="B46" s="537"/>
      <c r="C46" s="380" t="s">
        <v>202</v>
      </c>
      <c r="D46" s="334">
        <f>D36*D45</f>
        <v>2253270.8970745318</v>
      </c>
      <c r="E46" s="335">
        <f>E36*E45</f>
        <v>612</v>
      </c>
      <c r="F46" s="336">
        <f>F36*F45</f>
        <v>612</v>
      </c>
      <c r="G46" s="335">
        <f>G36*G45</f>
        <v>612</v>
      </c>
      <c r="H46" s="337">
        <f>H36*H45</f>
        <v>612</v>
      </c>
    </row>
    <row r="47" spans="2:8" s="75" customFormat="1" ht="19.5" customHeight="1">
      <c r="B47" s="537"/>
      <c r="C47" s="412" t="s">
        <v>201</v>
      </c>
      <c r="D47" s="408">
        <f>D36/(D45*D7)</f>
        <v>8901.810951405558</v>
      </c>
      <c r="E47" s="409">
        <f>E36/(E45*E7)</f>
        <v>612</v>
      </c>
      <c r="F47" s="410">
        <f>F36/(F45*F7)</f>
        <v>612</v>
      </c>
      <c r="G47" s="409">
        <f>G36/(G45*G7)</f>
        <v>612</v>
      </c>
      <c r="H47" s="411">
        <f>H36/(H45*H7)</f>
        <v>612</v>
      </c>
    </row>
    <row r="48" spans="2:8" s="75" customFormat="1" ht="19.5" customHeight="1" thickBot="1">
      <c r="B48" s="538"/>
      <c r="C48" s="413" t="s">
        <v>203</v>
      </c>
      <c r="D48" s="414">
        <f>D36/(0.8*D7)</f>
        <v>8345.44776694271</v>
      </c>
      <c r="E48" s="415">
        <f>E36/(0.8*E7)</f>
        <v>765</v>
      </c>
      <c r="F48" s="415">
        <f>F36/(0.8*F7)</f>
        <v>765</v>
      </c>
      <c r="G48" s="415">
        <f>G36/(0.8*G7)</f>
        <v>765</v>
      </c>
      <c r="H48" s="416">
        <f>H36/(0.8*H7)</f>
        <v>765</v>
      </c>
    </row>
    <row r="49" spans="3:8" s="75" customFormat="1" ht="12.75">
      <c r="C49" s="385"/>
      <c r="D49" s="80"/>
      <c r="E49" s="80"/>
      <c r="F49" s="80"/>
      <c r="G49" s="80"/>
      <c r="H49" s="79"/>
    </row>
    <row r="50" ht="12.75">
      <c r="C50" s="385"/>
    </row>
    <row r="51" ht="12.75">
      <c r="C51" s="385"/>
    </row>
    <row r="52" ht="12.75">
      <c r="C52" s="385"/>
    </row>
    <row r="54" ht="12.75" customHeight="1"/>
    <row r="57" ht="12.75" thickBot="1"/>
    <row r="58" spans="3:8" ht="13.5" thickBot="1">
      <c r="C58" s="381"/>
      <c r="D58" s="67"/>
      <c r="E58" s="67"/>
      <c r="F58" s="67"/>
      <c r="G58" s="67"/>
      <c r="H58" s="68"/>
    </row>
    <row r="65" ht="12.75">
      <c r="C65" s="385"/>
    </row>
    <row r="66" ht="12.75">
      <c r="C66" s="385"/>
    </row>
    <row r="67" ht="12.75">
      <c r="C67" s="385"/>
    </row>
    <row r="68" ht="12.75">
      <c r="C68" s="385"/>
    </row>
    <row r="69" ht="12.75">
      <c r="C69" s="385"/>
    </row>
    <row r="70" ht="12.75">
      <c r="C70" s="385"/>
    </row>
    <row r="71" ht="12.75">
      <c r="C71" s="385"/>
    </row>
    <row r="72" ht="12.75">
      <c r="C72" s="385"/>
    </row>
    <row r="73" ht="12.75">
      <c r="C73" s="385"/>
    </row>
    <row r="74" ht="12.75">
      <c r="C74" s="385"/>
    </row>
    <row r="75" ht="12.75">
      <c r="C75" s="385"/>
    </row>
    <row r="76" ht="12.75">
      <c r="C76" s="385"/>
    </row>
    <row r="77" ht="12.75">
      <c r="C77" s="385"/>
    </row>
    <row r="78" ht="12.75">
      <c r="C78" s="385"/>
    </row>
  </sheetData>
  <sheetProtection/>
  <mergeCells count="6">
    <mergeCell ref="B38:B48"/>
    <mergeCell ref="B29:B36"/>
    <mergeCell ref="B2:H2"/>
    <mergeCell ref="B9:B24"/>
    <mergeCell ref="B26:B27"/>
    <mergeCell ref="B5:B7"/>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B2:AG169"/>
  <sheetViews>
    <sheetView showGridLines="0" zoomScale="75" zoomScaleNormal="75" zoomScalePageLayoutView="0" workbookViewId="0" topLeftCell="E39">
      <selection activeCell="H70" sqref="H70"/>
    </sheetView>
  </sheetViews>
  <sheetFormatPr defaultColWidth="9.140625" defaultRowHeight="12.75"/>
  <cols>
    <col min="1" max="1" width="9.140625" style="11" customWidth="1"/>
    <col min="2" max="2" width="157.00390625" style="9" customWidth="1"/>
    <col min="3" max="4" width="14.140625" style="9" customWidth="1"/>
    <col min="5" max="5" width="15.7109375" style="9" customWidth="1"/>
    <col min="6" max="6" width="14.8515625" style="9" customWidth="1"/>
    <col min="7" max="23" width="12.7109375" style="9" customWidth="1"/>
    <col min="24" max="24" width="15.57421875" style="9" customWidth="1"/>
    <col min="25" max="26" width="12.7109375" style="9" customWidth="1"/>
    <col min="27" max="29" width="19.57421875" style="9" customWidth="1"/>
    <col min="30" max="30" width="7.57421875" style="9" customWidth="1"/>
    <col min="31" max="16384" width="9.140625" style="11" customWidth="1"/>
  </cols>
  <sheetData>
    <row r="1" ht="12.75"/>
    <row r="2" spans="2:30" ht="24" customHeight="1">
      <c r="B2" s="8" t="s">
        <v>204</v>
      </c>
      <c r="F2" s="10"/>
      <c r="G2" s="10"/>
      <c r="H2" s="10"/>
      <c r="I2" s="10"/>
      <c r="J2" s="10"/>
      <c r="K2" s="10"/>
      <c r="AA2" s="10"/>
      <c r="AB2" s="10"/>
      <c r="AC2" s="10"/>
      <c r="AD2" s="10"/>
    </row>
    <row r="3" spans="3:30" ht="12" customHeight="1">
      <c r="C3" s="11"/>
      <c r="D3" s="11"/>
      <c r="E3" s="12"/>
      <c r="F3" s="13"/>
      <c r="AA3" s="10"/>
      <c r="AB3" s="10"/>
      <c r="AC3" s="10"/>
      <c r="AD3" s="10"/>
    </row>
    <row r="4" spans="2:30" ht="24" customHeight="1">
      <c r="B4" s="14" t="s">
        <v>172</v>
      </c>
      <c r="C4" s="11"/>
      <c r="D4" s="11"/>
      <c r="E4" s="15"/>
      <c r="F4" s="16"/>
      <c r="O4" s="533"/>
      <c r="P4" s="533"/>
      <c r="Q4" s="533"/>
      <c r="R4" s="533"/>
      <c r="S4" s="533"/>
      <c r="T4" s="533"/>
      <c r="U4" s="533"/>
      <c r="V4" s="533"/>
      <c r="W4" s="533"/>
      <c r="X4" s="533"/>
      <c r="Y4" s="533"/>
      <c r="Z4" s="533"/>
      <c r="AA4" s="10"/>
      <c r="AB4" s="10"/>
      <c r="AC4" s="10"/>
      <c r="AD4" s="10"/>
    </row>
    <row r="5" spans="2:26" ht="12" customHeight="1">
      <c r="B5" s="11"/>
      <c r="C5" s="11"/>
      <c r="D5" s="11"/>
      <c r="E5" s="15"/>
      <c r="F5" s="16"/>
      <c r="O5" s="83"/>
      <c r="P5" s="83"/>
      <c r="Q5" s="83"/>
      <c r="R5" s="83"/>
      <c r="S5" s="83"/>
      <c r="T5" s="83"/>
      <c r="U5" s="83"/>
      <c r="V5" s="83"/>
      <c r="W5" s="83"/>
      <c r="X5" s="83"/>
      <c r="Y5" s="83"/>
      <c r="Z5" s="83"/>
    </row>
    <row r="6" spans="2:30" ht="24" customHeight="1">
      <c r="B6" s="382" t="s">
        <v>173</v>
      </c>
      <c r="C6" s="532"/>
      <c r="D6" s="532"/>
      <c r="E6" s="532"/>
      <c r="F6" s="19"/>
      <c r="J6" s="270"/>
      <c r="K6" s="270"/>
      <c r="O6" s="83"/>
      <c r="P6" s="83"/>
      <c r="Q6" s="83"/>
      <c r="R6" s="83"/>
      <c r="S6" s="83"/>
      <c r="T6" s="83"/>
      <c r="U6" s="83"/>
      <c r="V6" s="324"/>
      <c r="W6" s="324"/>
      <c r="X6" s="83"/>
      <c r="Y6" s="489"/>
      <c r="Z6" s="83"/>
      <c r="AA6" s="10"/>
      <c r="AB6" s="10"/>
      <c r="AC6" s="10"/>
      <c r="AD6" s="10"/>
    </row>
    <row r="7" spans="2:30" ht="24" customHeight="1">
      <c r="B7" s="382" t="s">
        <v>174</v>
      </c>
      <c r="C7" s="532"/>
      <c r="D7" s="532"/>
      <c r="E7" s="532"/>
      <c r="F7" s="19"/>
      <c r="O7" s="83"/>
      <c r="P7" s="83"/>
      <c r="Q7" s="83"/>
      <c r="R7" s="83"/>
      <c r="S7" s="83"/>
      <c r="T7" s="83"/>
      <c r="U7" s="83"/>
      <c r="V7" s="324"/>
      <c r="W7" s="324"/>
      <c r="X7" s="83"/>
      <c r="Y7" s="489"/>
      <c r="Z7" s="83"/>
      <c r="AA7" s="10"/>
      <c r="AB7" s="10"/>
      <c r="AC7" s="10"/>
      <c r="AD7" s="10"/>
    </row>
    <row r="8" spans="2:30" ht="24" customHeight="1">
      <c r="B8" s="382" t="s">
        <v>107</v>
      </c>
      <c r="C8" s="534" t="s">
        <v>104</v>
      </c>
      <c r="D8" s="535"/>
      <c r="E8" s="536"/>
      <c r="F8" s="19"/>
      <c r="O8" s="502"/>
      <c r="P8" s="502"/>
      <c r="Q8" s="502"/>
      <c r="R8" s="502"/>
      <c r="S8" s="502"/>
      <c r="T8" s="502"/>
      <c r="U8" s="502"/>
      <c r="V8" s="502"/>
      <c r="W8" s="502"/>
      <c r="X8" s="502"/>
      <c r="Y8" s="290"/>
      <c r="Z8" s="83"/>
      <c r="AA8" s="10"/>
      <c r="AB8" s="10"/>
      <c r="AC8" s="10"/>
      <c r="AD8" s="10"/>
    </row>
    <row r="9" spans="2:30" ht="24" customHeight="1">
      <c r="B9" s="382" t="s">
        <v>175</v>
      </c>
      <c r="C9" s="532"/>
      <c r="D9" s="532"/>
      <c r="E9" s="532"/>
      <c r="F9" s="19"/>
      <c r="H9" s="20" t="s">
        <v>124</v>
      </c>
      <c r="O9" s="503"/>
      <c r="P9" s="503"/>
      <c r="Q9" s="503"/>
      <c r="R9" s="503"/>
      <c r="S9" s="503"/>
      <c r="T9" s="503"/>
      <c r="U9" s="503"/>
      <c r="V9" s="503"/>
      <c r="W9" s="503"/>
      <c r="X9" s="503"/>
      <c r="Y9" s="83"/>
      <c r="Z9" s="83"/>
      <c r="AA9" s="10"/>
      <c r="AB9" s="10"/>
      <c r="AC9" s="10"/>
      <c r="AD9" s="10"/>
    </row>
    <row r="10" spans="2:30" ht="24" customHeight="1">
      <c r="B10" s="382" t="s">
        <v>110</v>
      </c>
      <c r="C10" s="501"/>
      <c r="D10" s="501"/>
      <c r="E10" s="501"/>
      <c r="F10" s="19"/>
      <c r="H10" s="20" t="s">
        <v>125</v>
      </c>
      <c r="O10" s="49"/>
      <c r="P10" s="49"/>
      <c r="Q10" s="49"/>
      <c r="R10" s="49"/>
      <c r="S10" s="49"/>
      <c r="T10" s="49"/>
      <c r="U10" s="49"/>
      <c r="V10" s="325"/>
      <c r="W10" s="325"/>
      <c r="X10" s="49"/>
      <c r="Y10" s="83"/>
      <c r="Z10" s="83"/>
      <c r="AA10" s="10"/>
      <c r="AB10" s="10"/>
      <c r="AC10" s="10"/>
      <c r="AD10" s="10"/>
    </row>
    <row r="11" spans="2:30" ht="24" customHeight="1">
      <c r="B11" s="382" t="s">
        <v>112</v>
      </c>
      <c r="C11" s="501"/>
      <c r="D11" s="501"/>
      <c r="E11" s="501"/>
      <c r="L11" s="11"/>
      <c r="M11" s="11"/>
      <c r="N11" s="11"/>
      <c r="O11" s="502"/>
      <c r="P11" s="503"/>
      <c r="Q11" s="503"/>
      <c r="R11" s="503"/>
      <c r="S11" s="503"/>
      <c r="T11" s="503"/>
      <c r="U11" s="503"/>
      <c r="V11" s="503"/>
      <c r="W11" s="503"/>
      <c r="X11" s="503"/>
      <c r="Y11" s="290"/>
      <c r="Z11" s="83"/>
      <c r="AA11" s="10"/>
      <c r="AB11" s="10"/>
      <c r="AC11" s="10"/>
      <c r="AD11" s="10"/>
    </row>
    <row r="12" spans="2:30" ht="23.25" customHeight="1">
      <c r="B12" s="275"/>
      <c r="C12" s="276"/>
      <c r="D12" s="276"/>
      <c r="E12" s="276"/>
      <c r="L12" s="11"/>
      <c r="M12" s="11"/>
      <c r="N12" s="11"/>
      <c r="O12" s="502"/>
      <c r="P12" s="503"/>
      <c r="Q12" s="503"/>
      <c r="R12" s="503"/>
      <c r="S12" s="503"/>
      <c r="T12" s="503"/>
      <c r="U12" s="503"/>
      <c r="V12" s="503"/>
      <c r="W12" s="503"/>
      <c r="X12" s="503"/>
      <c r="Y12" s="290"/>
      <c r="Z12" s="83"/>
      <c r="AA12" s="10"/>
      <c r="AB12" s="10"/>
      <c r="AC12" s="10"/>
      <c r="AD12" s="10"/>
    </row>
    <row r="13" spans="2:30" ht="23.25" customHeight="1">
      <c r="B13" s="275"/>
      <c r="C13" s="276"/>
      <c r="D13" s="276"/>
      <c r="E13" s="276"/>
      <c r="G13" s="650" t="s">
        <v>42</v>
      </c>
      <c r="H13" s="651"/>
      <c r="L13" s="11"/>
      <c r="M13" s="11"/>
      <c r="N13" s="11"/>
      <c r="O13" s="503"/>
      <c r="P13" s="503"/>
      <c r="Q13" s="503"/>
      <c r="R13" s="503"/>
      <c r="S13" s="503"/>
      <c r="T13" s="503"/>
      <c r="U13" s="503"/>
      <c r="V13" s="503"/>
      <c r="W13" s="503"/>
      <c r="X13" s="503"/>
      <c r="Y13" s="290"/>
      <c r="Z13" s="83"/>
      <c r="AA13" s="10"/>
      <c r="AB13" s="10"/>
      <c r="AC13" s="10"/>
      <c r="AD13" s="10"/>
    </row>
    <row r="14" spans="2:30" ht="23.25" customHeight="1">
      <c r="B14" s="275"/>
      <c r="C14" s="276"/>
      <c r="D14" s="276"/>
      <c r="E14" s="276"/>
      <c r="G14" s="648">
        <v>0.035</v>
      </c>
      <c r="H14" s="649"/>
      <c r="L14" s="11"/>
      <c r="M14" s="11"/>
      <c r="N14" s="11"/>
      <c r="O14" s="503"/>
      <c r="P14" s="503"/>
      <c r="Q14" s="503"/>
      <c r="R14" s="503"/>
      <c r="S14" s="503"/>
      <c r="T14" s="503"/>
      <c r="U14" s="503"/>
      <c r="V14" s="503"/>
      <c r="W14" s="503"/>
      <c r="X14" s="503"/>
      <c r="Y14" s="290"/>
      <c r="Z14" s="83"/>
      <c r="AA14" s="10"/>
      <c r="AB14" s="10"/>
      <c r="AC14" s="10"/>
      <c r="AD14" s="10"/>
    </row>
    <row r="15" spans="2:30" ht="23.25" customHeight="1">
      <c r="B15" s="275"/>
      <c r="C15" s="276"/>
      <c r="D15" s="276"/>
      <c r="E15" s="276"/>
      <c r="L15" s="194"/>
      <c r="M15" s="194"/>
      <c r="N15" s="194"/>
      <c r="O15" s="83"/>
      <c r="P15" s="83"/>
      <c r="Q15" s="83"/>
      <c r="R15" s="83"/>
      <c r="S15" s="83"/>
      <c r="T15" s="83"/>
      <c r="U15" s="83"/>
      <c r="V15" s="83"/>
      <c r="W15" s="83"/>
      <c r="X15" s="83"/>
      <c r="Y15" s="83"/>
      <c r="Z15" s="83"/>
      <c r="AA15" s="10"/>
      <c r="AB15" s="10"/>
      <c r="AC15" s="10"/>
      <c r="AD15" s="10"/>
    </row>
    <row r="16" spans="2:30" ht="23.25" customHeight="1" thickBot="1">
      <c r="B16" s="11"/>
      <c r="C16" s="11"/>
      <c r="D16" s="11"/>
      <c r="F16" s="19"/>
      <c r="V16" s="10"/>
      <c r="W16" s="10"/>
      <c r="X16" s="10"/>
      <c r="Y16" s="10"/>
      <c r="Z16" s="10"/>
      <c r="AA16" s="10"/>
      <c r="AB16" s="10"/>
      <c r="AC16" s="10"/>
      <c r="AD16" s="10"/>
    </row>
    <row r="17" spans="2:29" s="23" customFormat="1" ht="16.5" customHeight="1">
      <c r="B17" s="511" t="s">
        <v>176</v>
      </c>
      <c r="C17" s="513" t="s">
        <v>43</v>
      </c>
      <c r="D17" s="514"/>
      <c r="E17" s="514"/>
      <c r="F17" s="515" t="s">
        <v>171</v>
      </c>
      <c r="G17" s="517" t="s">
        <v>57</v>
      </c>
      <c r="H17" s="518"/>
      <c r="I17" s="518"/>
      <c r="J17" s="518"/>
      <c r="K17" s="518"/>
      <c r="L17" s="518"/>
      <c r="M17" s="518"/>
      <c r="N17" s="518"/>
      <c r="O17" s="518"/>
      <c r="P17" s="518"/>
      <c r="Q17" s="518"/>
      <c r="R17" s="518"/>
      <c r="S17" s="518"/>
      <c r="T17" s="518"/>
      <c r="U17" s="518"/>
      <c r="V17" s="518"/>
      <c r="W17" s="518"/>
      <c r="X17" s="518"/>
      <c r="Y17" s="518"/>
      <c r="Z17" s="519"/>
      <c r="AA17" s="515" t="s">
        <v>180</v>
      </c>
      <c r="AB17" s="515" t="s">
        <v>130</v>
      </c>
      <c r="AC17" s="515" t="s">
        <v>129</v>
      </c>
    </row>
    <row r="18" spans="2:29" s="23" customFormat="1" ht="66" customHeight="1" thickBot="1">
      <c r="B18" s="512"/>
      <c r="C18" s="265" t="s">
        <v>164</v>
      </c>
      <c r="D18" s="266" t="s">
        <v>165</v>
      </c>
      <c r="E18" s="283" t="s">
        <v>205</v>
      </c>
      <c r="F18" s="516"/>
      <c r="G18" s="267">
        <v>1</v>
      </c>
      <c r="H18" s="268">
        <v>2</v>
      </c>
      <c r="I18" s="268">
        <v>3</v>
      </c>
      <c r="J18" s="268">
        <v>4</v>
      </c>
      <c r="K18" s="268">
        <v>5</v>
      </c>
      <c r="L18" s="268">
        <v>6</v>
      </c>
      <c r="M18" s="268">
        <v>7</v>
      </c>
      <c r="N18" s="268">
        <v>8</v>
      </c>
      <c r="O18" s="268">
        <v>9</v>
      </c>
      <c r="P18" s="268">
        <v>10</v>
      </c>
      <c r="Q18" s="268">
        <v>11</v>
      </c>
      <c r="R18" s="268">
        <v>12</v>
      </c>
      <c r="S18" s="268">
        <v>13</v>
      </c>
      <c r="T18" s="268">
        <v>14</v>
      </c>
      <c r="U18" s="268">
        <v>15</v>
      </c>
      <c r="V18" s="268">
        <v>16</v>
      </c>
      <c r="W18" s="268">
        <v>17</v>
      </c>
      <c r="X18" s="268">
        <v>18</v>
      </c>
      <c r="Y18" s="268">
        <v>19</v>
      </c>
      <c r="Z18" s="269">
        <v>20</v>
      </c>
      <c r="AA18" s="520"/>
      <c r="AB18" s="520"/>
      <c r="AC18" s="520"/>
    </row>
    <row r="19" spans="2:29" s="23" customFormat="1" ht="19.5" customHeight="1">
      <c r="B19" s="319" t="s">
        <v>206</v>
      </c>
      <c r="C19" s="320">
        <v>4</v>
      </c>
      <c r="D19" s="320">
        <v>5</v>
      </c>
      <c r="E19" s="321"/>
      <c r="F19" s="322">
        <v>20000</v>
      </c>
      <c r="G19" s="264">
        <f aca="true" t="shared" si="0" ref="G19:P25">IF(OR(ISBLANK($C19),$C19&gt;G$18),0,IF(AND(NOT(ISBLANK($D19)),G$18&gt;$D19),0,IF(MOD((G$18-$C19),MAX($E19,1))=0,$F19,0)))</f>
        <v>0</v>
      </c>
      <c r="H19" s="254">
        <f t="shared" si="0"/>
        <v>0</v>
      </c>
      <c r="I19" s="254">
        <f t="shared" si="0"/>
        <v>0</v>
      </c>
      <c r="J19" s="254">
        <f t="shared" si="0"/>
        <v>20000</v>
      </c>
      <c r="K19" s="254">
        <f t="shared" si="0"/>
        <v>20000</v>
      </c>
      <c r="L19" s="254">
        <f t="shared" si="0"/>
        <v>0</v>
      </c>
      <c r="M19" s="254">
        <f t="shared" si="0"/>
        <v>0</v>
      </c>
      <c r="N19" s="254">
        <f t="shared" si="0"/>
        <v>0</v>
      </c>
      <c r="O19" s="254">
        <f t="shared" si="0"/>
        <v>0</v>
      </c>
      <c r="P19" s="254">
        <f t="shared" si="0"/>
        <v>0</v>
      </c>
      <c r="Q19" s="254">
        <f aca="true" t="shared" si="1" ref="Q19:Z25">IF(OR(ISBLANK($C19),$C19&gt;Q$18),0,IF(AND(NOT(ISBLANK($D19)),Q$18&gt;$D19),0,IF(MOD((Q$18-$C19),MAX($E19,1))=0,$F19,0)))</f>
        <v>0</v>
      </c>
      <c r="R19" s="254">
        <f t="shared" si="1"/>
        <v>0</v>
      </c>
      <c r="S19" s="254">
        <f t="shared" si="1"/>
        <v>0</v>
      </c>
      <c r="T19" s="254">
        <f t="shared" si="1"/>
        <v>0</v>
      </c>
      <c r="U19" s="254">
        <f t="shared" si="1"/>
        <v>0</v>
      </c>
      <c r="V19" s="254">
        <f t="shared" si="1"/>
        <v>0</v>
      </c>
      <c r="W19" s="254">
        <f t="shared" si="1"/>
        <v>0</v>
      </c>
      <c r="X19" s="254">
        <f t="shared" si="1"/>
        <v>0</v>
      </c>
      <c r="Y19" s="254">
        <f t="shared" si="1"/>
        <v>0</v>
      </c>
      <c r="Z19" s="255">
        <f t="shared" si="1"/>
        <v>0</v>
      </c>
      <c r="AA19" s="256">
        <f aca="true" t="shared" si="2" ref="AA19:AA25">+SUMPRODUCT(G19:Z19,$G$35:$Z$35)</f>
        <v>35467.6986673319</v>
      </c>
      <c r="AB19" s="256">
        <f aca="true" t="shared" si="3" ref="AB19:AB25">(IF(ISBLANK(C19),0,IF(D19,0,((1+$G$14)^MOD($Z$18-C19,MAX(E19,1)))*((1+$G$14)^-$Z$18)*F19/((1+$G$14)^(MAX(E19,1))-1))))*(1+$G$14)</f>
        <v>0</v>
      </c>
      <c r="AC19" s="256">
        <f aca="true" t="shared" si="4" ref="AC19:AC25">+AA19+AB19</f>
        <v>35467.6986673319</v>
      </c>
    </row>
    <row r="20" spans="2:29" s="23" customFormat="1" ht="19.5" customHeight="1">
      <c r="B20" s="4" t="s">
        <v>207</v>
      </c>
      <c r="C20" s="258">
        <v>6</v>
      </c>
      <c r="D20" s="258">
        <v>7</v>
      </c>
      <c r="E20" s="260"/>
      <c r="F20" s="278">
        <v>3000</v>
      </c>
      <c r="G20" s="257">
        <f t="shared" si="0"/>
        <v>0</v>
      </c>
      <c r="H20" s="34">
        <f t="shared" si="0"/>
        <v>0</v>
      </c>
      <c r="I20" s="34">
        <f t="shared" si="0"/>
        <v>0</v>
      </c>
      <c r="J20" s="34">
        <f t="shared" si="0"/>
        <v>0</v>
      </c>
      <c r="K20" s="34">
        <f t="shared" si="0"/>
        <v>0</v>
      </c>
      <c r="L20" s="34">
        <f t="shared" si="0"/>
        <v>3000</v>
      </c>
      <c r="M20" s="34">
        <f t="shared" si="0"/>
        <v>3000</v>
      </c>
      <c r="N20" s="34">
        <f t="shared" si="0"/>
        <v>0</v>
      </c>
      <c r="O20" s="34">
        <f t="shared" si="0"/>
        <v>0</v>
      </c>
      <c r="P20" s="34">
        <f t="shared" si="0"/>
        <v>0</v>
      </c>
      <c r="Q20" s="34">
        <f t="shared" si="1"/>
        <v>0</v>
      </c>
      <c r="R20" s="34">
        <f t="shared" si="1"/>
        <v>0</v>
      </c>
      <c r="S20" s="34">
        <f t="shared" si="1"/>
        <v>0</v>
      </c>
      <c r="T20" s="34">
        <f t="shared" si="1"/>
        <v>0</v>
      </c>
      <c r="U20" s="34">
        <f t="shared" si="1"/>
        <v>0</v>
      </c>
      <c r="V20" s="34">
        <f t="shared" si="1"/>
        <v>0</v>
      </c>
      <c r="W20" s="34">
        <f t="shared" si="1"/>
        <v>0</v>
      </c>
      <c r="X20" s="34">
        <f t="shared" si="1"/>
        <v>0</v>
      </c>
      <c r="Y20" s="34">
        <f t="shared" si="1"/>
        <v>0</v>
      </c>
      <c r="Z20" s="35">
        <f t="shared" si="1"/>
        <v>0</v>
      </c>
      <c r="AA20" s="36">
        <f t="shared" si="2"/>
        <v>4966.421433498832</v>
      </c>
      <c r="AB20" s="36">
        <f t="shared" si="3"/>
        <v>0</v>
      </c>
      <c r="AC20" s="36">
        <f t="shared" si="4"/>
        <v>4966.421433498832</v>
      </c>
    </row>
    <row r="21" spans="2:29" s="23" customFormat="1" ht="19.5" customHeight="1">
      <c r="B21" s="4" t="s">
        <v>208</v>
      </c>
      <c r="C21" s="258">
        <v>1</v>
      </c>
      <c r="D21" s="258">
        <v>5</v>
      </c>
      <c r="E21" s="260"/>
      <c r="F21" s="278">
        <v>50000</v>
      </c>
      <c r="G21" s="257">
        <f t="shared" si="0"/>
        <v>50000</v>
      </c>
      <c r="H21" s="34">
        <f t="shared" si="0"/>
        <v>50000</v>
      </c>
      <c r="I21" s="34">
        <f t="shared" si="0"/>
        <v>50000</v>
      </c>
      <c r="J21" s="34">
        <f t="shared" si="0"/>
        <v>50000</v>
      </c>
      <c r="K21" s="34">
        <f t="shared" si="0"/>
        <v>50000</v>
      </c>
      <c r="L21" s="34">
        <f t="shared" si="0"/>
        <v>0</v>
      </c>
      <c r="M21" s="34">
        <f t="shared" si="0"/>
        <v>0</v>
      </c>
      <c r="N21" s="34">
        <f t="shared" si="0"/>
        <v>0</v>
      </c>
      <c r="O21" s="34">
        <f t="shared" si="0"/>
        <v>0</v>
      </c>
      <c r="P21" s="34">
        <f t="shared" si="0"/>
        <v>0</v>
      </c>
      <c r="Q21" s="34">
        <f t="shared" si="1"/>
        <v>0</v>
      </c>
      <c r="R21" s="34">
        <f t="shared" si="1"/>
        <v>0</v>
      </c>
      <c r="S21" s="34">
        <f t="shared" si="1"/>
        <v>0</v>
      </c>
      <c r="T21" s="34">
        <f t="shared" si="1"/>
        <v>0</v>
      </c>
      <c r="U21" s="34">
        <f t="shared" si="1"/>
        <v>0</v>
      </c>
      <c r="V21" s="34">
        <f t="shared" si="1"/>
        <v>0</v>
      </c>
      <c r="W21" s="34">
        <f t="shared" si="1"/>
        <v>0</v>
      </c>
      <c r="X21" s="34">
        <f t="shared" si="1"/>
        <v>0</v>
      </c>
      <c r="Y21" s="34">
        <f t="shared" si="1"/>
        <v>0</v>
      </c>
      <c r="Z21" s="35">
        <f t="shared" si="1"/>
        <v>0</v>
      </c>
      <c r="AA21" s="36">
        <f t="shared" si="2"/>
        <v>233653.96043061127</v>
      </c>
      <c r="AB21" s="36">
        <f t="shared" si="3"/>
        <v>0</v>
      </c>
      <c r="AC21" s="36">
        <f t="shared" si="4"/>
        <v>233653.96043061127</v>
      </c>
    </row>
    <row r="22" spans="2:29" s="23" customFormat="1" ht="19.5" customHeight="1">
      <c r="B22" s="4" t="s">
        <v>209</v>
      </c>
      <c r="C22" s="258">
        <v>6</v>
      </c>
      <c r="D22" s="258"/>
      <c r="E22" s="260">
        <v>1</v>
      </c>
      <c r="F22" s="278">
        <v>5000</v>
      </c>
      <c r="G22" s="257">
        <f t="shared" si="0"/>
        <v>0</v>
      </c>
      <c r="H22" s="34">
        <f t="shared" si="0"/>
        <v>0</v>
      </c>
      <c r="I22" s="34">
        <f t="shared" si="0"/>
        <v>0</v>
      </c>
      <c r="J22" s="34">
        <f t="shared" si="0"/>
        <v>0</v>
      </c>
      <c r="K22" s="34">
        <f t="shared" si="0"/>
        <v>0</v>
      </c>
      <c r="L22" s="34">
        <f t="shared" si="0"/>
        <v>5000</v>
      </c>
      <c r="M22" s="34">
        <f t="shared" si="0"/>
        <v>5000</v>
      </c>
      <c r="N22" s="34">
        <f t="shared" si="0"/>
        <v>5000</v>
      </c>
      <c r="O22" s="34">
        <f t="shared" si="0"/>
        <v>5000</v>
      </c>
      <c r="P22" s="34">
        <f t="shared" si="0"/>
        <v>5000</v>
      </c>
      <c r="Q22" s="34">
        <f t="shared" si="1"/>
        <v>5000</v>
      </c>
      <c r="R22" s="34">
        <f t="shared" si="1"/>
        <v>5000</v>
      </c>
      <c r="S22" s="34">
        <f t="shared" si="1"/>
        <v>5000</v>
      </c>
      <c r="T22" s="34">
        <f t="shared" si="1"/>
        <v>5000</v>
      </c>
      <c r="U22" s="34">
        <f t="shared" si="1"/>
        <v>5000</v>
      </c>
      <c r="V22" s="34">
        <f t="shared" si="1"/>
        <v>5000</v>
      </c>
      <c r="W22" s="34">
        <f t="shared" si="1"/>
        <v>5000</v>
      </c>
      <c r="X22" s="34">
        <f t="shared" si="1"/>
        <v>5000</v>
      </c>
      <c r="Y22" s="34">
        <f t="shared" si="1"/>
        <v>5000</v>
      </c>
      <c r="Z22" s="35">
        <f t="shared" si="1"/>
        <v>5000</v>
      </c>
      <c r="AA22" s="36">
        <f t="shared" si="2"/>
        <v>50183.79104454203</v>
      </c>
      <c r="AB22" s="36">
        <f t="shared" si="3"/>
        <v>74307.95576954003</v>
      </c>
      <c r="AC22" s="36">
        <f t="shared" si="4"/>
        <v>124491.74681408206</v>
      </c>
    </row>
    <row r="23" spans="2:31" s="23" customFormat="1" ht="19.5" customHeight="1">
      <c r="B23" s="4" t="s">
        <v>210</v>
      </c>
      <c r="C23" s="258">
        <v>10</v>
      </c>
      <c r="D23" s="258"/>
      <c r="E23" s="260">
        <v>10</v>
      </c>
      <c r="F23" s="278">
        <v>1.5</v>
      </c>
      <c r="G23" s="257">
        <f t="shared" si="0"/>
        <v>0</v>
      </c>
      <c r="H23" s="34">
        <f t="shared" si="0"/>
        <v>0</v>
      </c>
      <c r="I23" s="34">
        <f t="shared" si="0"/>
        <v>0</v>
      </c>
      <c r="J23" s="34">
        <f t="shared" si="0"/>
        <v>0</v>
      </c>
      <c r="K23" s="34">
        <f t="shared" si="0"/>
        <v>0</v>
      </c>
      <c r="L23" s="34">
        <f t="shared" si="0"/>
        <v>0</v>
      </c>
      <c r="M23" s="34">
        <f t="shared" si="0"/>
        <v>0</v>
      </c>
      <c r="N23" s="34">
        <f t="shared" si="0"/>
        <v>0</v>
      </c>
      <c r="O23" s="34">
        <f t="shared" si="0"/>
        <v>0</v>
      </c>
      <c r="P23" s="34">
        <f t="shared" si="0"/>
        <v>1.5</v>
      </c>
      <c r="Q23" s="34">
        <f t="shared" si="1"/>
        <v>0</v>
      </c>
      <c r="R23" s="34">
        <f t="shared" si="1"/>
        <v>0</v>
      </c>
      <c r="S23" s="34">
        <f t="shared" si="1"/>
        <v>0</v>
      </c>
      <c r="T23" s="34">
        <f t="shared" si="1"/>
        <v>0</v>
      </c>
      <c r="U23" s="34">
        <f t="shared" si="1"/>
        <v>0</v>
      </c>
      <c r="V23" s="34">
        <f t="shared" si="1"/>
        <v>0</v>
      </c>
      <c r="W23" s="34">
        <f t="shared" si="1"/>
        <v>0</v>
      </c>
      <c r="X23" s="34">
        <f t="shared" si="1"/>
        <v>0</v>
      </c>
      <c r="Y23" s="34">
        <f t="shared" si="1"/>
        <v>0</v>
      </c>
      <c r="Z23" s="35">
        <f t="shared" si="1"/>
        <v>1.5</v>
      </c>
      <c r="AA23" s="36">
        <f t="shared" si="2"/>
        <v>1.8808299938645898</v>
      </c>
      <c r="AB23" s="36">
        <f t="shared" si="3"/>
        <v>1.9002335379675612</v>
      </c>
      <c r="AC23" s="36">
        <f t="shared" si="4"/>
        <v>3.7810635318321513</v>
      </c>
      <c r="AE23" s="178"/>
    </row>
    <row r="24" spans="2:31" s="23" customFormat="1" ht="19.5" customHeight="1">
      <c r="B24" s="4" t="s">
        <v>211</v>
      </c>
      <c r="C24" s="258">
        <v>4</v>
      </c>
      <c r="D24" s="258"/>
      <c r="E24" s="260">
        <v>4</v>
      </c>
      <c r="F24" s="278">
        <v>4000</v>
      </c>
      <c r="G24" s="257">
        <f t="shared" si="0"/>
        <v>0</v>
      </c>
      <c r="H24" s="34">
        <f t="shared" si="0"/>
        <v>0</v>
      </c>
      <c r="I24" s="34">
        <f t="shared" si="0"/>
        <v>0</v>
      </c>
      <c r="J24" s="34">
        <f t="shared" si="0"/>
        <v>4000</v>
      </c>
      <c r="K24" s="34">
        <f t="shared" si="0"/>
        <v>0</v>
      </c>
      <c r="L24" s="34">
        <f t="shared" si="0"/>
        <v>0</v>
      </c>
      <c r="M24" s="34">
        <f t="shared" si="0"/>
        <v>0</v>
      </c>
      <c r="N24" s="34">
        <f t="shared" si="0"/>
        <v>4000</v>
      </c>
      <c r="O24" s="34">
        <f t="shared" si="0"/>
        <v>0</v>
      </c>
      <c r="P24" s="34">
        <f t="shared" si="0"/>
        <v>0</v>
      </c>
      <c r="Q24" s="34">
        <f t="shared" si="1"/>
        <v>0</v>
      </c>
      <c r="R24" s="34">
        <f t="shared" si="1"/>
        <v>4000</v>
      </c>
      <c r="S24" s="34">
        <f t="shared" si="1"/>
        <v>0</v>
      </c>
      <c r="T24" s="34">
        <f t="shared" si="1"/>
        <v>0</v>
      </c>
      <c r="U24" s="34">
        <f t="shared" si="1"/>
        <v>0</v>
      </c>
      <c r="V24" s="34">
        <f t="shared" si="1"/>
        <v>4000</v>
      </c>
      <c r="W24" s="34">
        <f t="shared" si="1"/>
        <v>0</v>
      </c>
      <c r="X24" s="34">
        <f t="shared" si="1"/>
        <v>0</v>
      </c>
      <c r="Y24" s="34">
        <f t="shared" si="1"/>
        <v>0</v>
      </c>
      <c r="Z24" s="35">
        <f t="shared" si="1"/>
        <v>4000</v>
      </c>
      <c r="AA24" s="36">
        <f t="shared" si="2"/>
        <v>13959.702756370696</v>
      </c>
      <c r="AB24" s="36">
        <f t="shared" si="3"/>
        <v>14103.717743892796</v>
      </c>
      <c r="AC24" s="36">
        <f t="shared" si="4"/>
        <v>28063.42050026349</v>
      </c>
      <c r="AE24" s="178"/>
    </row>
    <row r="25" spans="2:31" s="23" customFormat="1" ht="19.5" customHeight="1">
      <c r="B25" s="4" t="s">
        <v>212</v>
      </c>
      <c r="C25" s="258">
        <v>1</v>
      </c>
      <c r="D25" s="258"/>
      <c r="E25" s="260">
        <v>20</v>
      </c>
      <c r="F25" s="278">
        <v>40000</v>
      </c>
      <c r="G25" s="257">
        <f t="shared" si="0"/>
        <v>40000</v>
      </c>
      <c r="H25" s="34">
        <f t="shared" si="0"/>
        <v>0</v>
      </c>
      <c r="I25" s="34">
        <f t="shared" si="0"/>
        <v>0</v>
      </c>
      <c r="J25" s="34">
        <f t="shared" si="0"/>
        <v>0</v>
      </c>
      <c r="K25" s="34">
        <f t="shared" si="0"/>
        <v>0</v>
      </c>
      <c r="L25" s="34">
        <f t="shared" si="0"/>
        <v>0</v>
      </c>
      <c r="M25" s="34">
        <f t="shared" si="0"/>
        <v>0</v>
      </c>
      <c r="N25" s="34">
        <f t="shared" si="0"/>
        <v>0</v>
      </c>
      <c r="O25" s="34">
        <f t="shared" si="0"/>
        <v>0</v>
      </c>
      <c r="P25" s="34">
        <f t="shared" si="0"/>
        <v>0</v>
      </c>
      <c r="Q25" s="34">
        <f t="shared" si="1"/>
        <v>0</v>
      </c>
      <c r="R25" s="34">
        <f t="shared" si="1"/>
        <v>0</v>
      </c>
      <c r="S25" s="34">
        <f t="shared" si="1"/>
        <v>0</v>
      </c>
      <c r="T25" s="34">
        <f t="shared" si="1"/>
        <v>0</v>
      </c>
      <c r="U25" s="34">
        <f t="shared" si="1"/>
        <v>0</v>
      </c>
      <c r="V25" s="34">
        <f t="shared" si="1"/>
        <v>0</v>
      </c>
      <c r="W25" s="34">
        <f t="shared" si="1"/>
        <v>0</v>
      </c>
      <c r="X25" s="34">
        <f t="shared" si="1"/>
        <v>0</v>
      </c>
      <c r="Y25" s="34">
        <f t="shared" si="1"/>
        <v>0</v>
      </c>
      <c r="Z25" s="35">
        <f t="shared" si="1"/>
        <v>0</v>
      </c>
      <c r="AA25" s="36">
        <f t="shared" si="2"/>
        <v>40000</v>
      </c>
      <c r="AB25" s="36">
        <f t="shared" si="3"/>
        <v>40412.659180601484</v>
      </c>
      <c r="AC25" s="36">
        <f t="shared" si="4"/>
        <v>80412.65918060148</v>
      </c>
      <c r="AE25" s="178"/>
    </row>
    <row r="26" spans="2:29" s="23" customFormat="1" ht="45" customHeight="1">
      <c r="B26" s="355" t="s">
        <v>177</v>
      </c>
      <c r="C26" s="263"/>
      <c r="D26" s="262"/>
      <c r="E26" s="252"/>
      <c r="F26" s="248"/>
      <c r="G26" s="506"/>
      <c r="H26" s="507"/>
      <c r="I26" s="507"/>
      <c r="J26" s="507"/>
      <c r="K26" s="507"/>
      <c r="L26" s="507"/>
      <c r="M26" s="507"/>
      <c r="N26" s="507"/>
      <c r="O26" s="507"/>
      <c r="P26" s="507"/>
      <c r="Q26" s="507"/>
      <c r="R26" s="507"/>
      <c r="S26" s="507"/>
      <c r="T26" s="507"/>
      <c r="U26" s="507"/>
      <c r="V26" s="507"/>
      <c r="W26" s="507"/>
      <c r="X26" s="507"/>
      <c r="Y26" s="507"/>
      <c r="Z26" s="508"/>
      <c r="AA26" s="24"/>
      <c r="AB26" s="24"/>
      <c r="AC26" s="24"/>
    </row>
    <row r="27" spans="2:29" s="23" customFormat="1" ht="19.5" customHeight="1">
      <c r="B27" s="128" t="s">
        <v>105</v>
      </c>
      <c r="C27" s="259">
        <v>1</v>
      </c>
      <c r="D27" s="259"/>
      <c r="E27" s="261">
        <v>1</v>
      </c>
      <c r="F27" s="253">
        <v>1225</v>
      </c>
      <c r="G27" s="257">
        <f aca="true" t="shared" si="5" ref="G27:P31">IF(OR(ISBLANK($C27),$C27&gt;G$18),0,IF(AND(NOT(ISBLANK($D27)),G$18&gt;$D27),0,IF(MOD((G$18-$C27),MAX($E27,1))=0,$F27,0)))</f>
        <v>1225</v>
      </c>
      <c r="H27" s="34">
        <f t="shared" si="5"/>
        <v>1225</v>
      </c>
      <c r="I27" s="34">
        <f t="shared" si="5"/>
        <v>1225</v>
      </c>
      <c r="J27" s="34">
        <f t="shared" si="5"/>
        <v>1225</v>
      </c>
      <c r="K27" s="34">
        <f t="shared" si="5"/>
        <v>1225</v>
      </c>
      <c r="L27" s="34">
        <f t="shared" si="5"/>
        <v>1225</v>
      </c>
      <c r="M27" s="34">
        <f t="shared" si="5"/>
        <v>1225</v>
      </c>
      <c r="N27" s="34">
        <f t="shared" si="5"/>
        <v>1225</v>
      </c>
      <c r="O27" s="34">
        <f t="shared" si="5"/>
        <v>1225</v>
      </c>
      <c r="P27" s="34">
        <f t="shared" si="5"/>
        <v>1225</v>
      </c>
      <c r="Q27" s="34">
        <f aca="true" t="shared" si="6" ref="Q27:Z31">IF(OR(ISBLANK($C27),$C27&gt;Q$18),0,IF(AND(NOT(ISBLANK($D27)),Q$18&gt;$D27),0,IF(MOD((Q$18-$C27),MAX($E27,1))=0,$F27,0)))</f>
        <v>1225</v>
      </c>
      <c r="R27" s="34">
        <f t="shared" si="6"/>
        <v>1225</v>
      </c>
      <c r="S27" s="34">
        <f t="shared" si="6"/>
        <v>1225</v>
      </c>
      <c r="T27" s="34">
        <f t="shared" si="6"/>
        <v>1225</v>
      </c>
      <c r="U27" s="34">
        <f t="shared" si="6"/>
        <v>1225</v>
      </c>
      <c r="V27" s="34">
        <f t="shared" si="6"/>
        <v>1225</v>
      </c>
      <c r="W27" s="34">
        <f t="shared" si="6"/>
        <v>1225</v>
      </c>
      <c r="X27" s="34">
        <f t="shared" si="6"/>
        <v>1225</v>
      </c>
      <c r="Y27" s="34">
        <f t="shared" si="6"/>
        <v>1225</v>
      </c>
      <c r="Z27" s="35">
        <f t="shared" si="6"/>
        <v>1225</v>
      </c>
      <c r="AA27" s="36">
        <f>+SUMPRODUCT(G27:Z27,$G$35:$Z$35)</f>
        <v>18019.55083646277</v>
      </c>
      <c r="AB27" s="36">
        <f>(IF(ISBLANK(C27),0,IF(D27,0,((1+$G$14)^MOD($Z$18-C27,MAX(E27,1)))*((1+$G$14)^-$Z$18)*F27/((1+$G$14)^(MAX(E27,1))-1))))*(1+$G$14)</f>
        <v>18205.449163537305</v>
      </c>
      <c r="AC27" s="36">
        <f>+AA27+AB27</f>
        <v>36225.00000000007</v>
      </c>
    </row>
    <row r="28" spans="2:29" s="23" customFormat="1" ht="19.5" customHeight="1">
      <c r="B28" s="4" t="s">
        <v>213</v>
      </c>
      <c r="C28" s="258">
        <v>1</v>
      </c>
      <c r="D28" s="258"/>
      <c r="E28" s="260"/>
      <c r="F28" s="278">
        <v>3000</v>
      </c>
      <c r="G28" s="257">
        <f t="shared" si="5"/>
        <v>3000</v>
      </c>
      <c r="H28" s="34">
        <f t="shared" si="5"/>
        <v>3000</v>
      </c>
      <c r="I28" s="34">
        <f t="shared" si="5"/>
        <v>3000</v>
      </c>
      <c r="J28" s="34">
        <f t="shared" si="5"/>
        <v>3000</v>
      </c>
      <c r="K28" s="34">
        <f t="shared" si="5"/>
        <v>3000</v>
      </c>
      <c r="L28" s="34">
        <f t="shared" si="5"/>
        <v>3000</v>
      </c>
      <c r="M28" s="34">
        <f t="shared" si="5"/>
        <v>3000</v>
      </c>
      <c r="N28" s="34">
        <f t="shared" si="5"/>
        <v>3000</v>
      </c>
      <c r="O28" s="34">
        <f t="shared" si="5"/>
        <v>3000</v>
      </c>
      <c r="P28" s="34">
        <f t="shared" si="5"/>
        <v>3000</v>
      </c>
      <c r="Q28" s="34">
        <f t="shared" si="6"/>
        <v>3000</v>
      </c>
      <c r="R28" s="34">
        <f t="shared" si="6"/>
        <v>3000</v>
      </c>
      <c r="S28" s="34">
        <f t="shared" si="6"/>
        <v>3000</v>
      </c>
      <c r="T28" s="34">
        <f t="shared" si="6"/>
        <v>3000</v>
      </c>
      <c r="U28" s="34">
        <f t="shared" si="6"/>
        <v>3000</v>
      </c>
      <c r="V28" s="34">
        <f t="shared" si="6"/>
        <v>3000</v>
      </c>
      <c r="W28" s="34">
        <f t="shared" si="6"/>
        <v>3000</v>
      </c>
      <c r="X28" s="34">
        <f t="shared" si="6"/>
        <v>3000</v>
      </c>
      <c r="Y28" s="34">
        <f t="shared" si="6"/>
        <v>3000</v>
      </c>
      <c r="Z28" s="35">
        <f t="shared" si="6"/>
        <v>3000</v>
      </c>
      <c r="AA28" s="36">
        <f>+SUMPRODUCT(G28:Z28,$G$35:$Z$35)</f>
        <v>44129.51225256189</v>
      </c>
      <c r="AB28" s="36">
        <f>(IF(ISBLANK(C28),0,IF(D28,0,((1+$G$14)^MOD($Z$18-C28,MAX(E28,1)))*((1+$G$14)^-$Z$18)*F28/((1+$G$14)^(MAX(E28,1))-1))))*(1+$G$14)</f>
        <v>44584.77346172402</v>
      </c>
      <c r="AC28" s="36">
        <f>+AA28+AB28</f>
        <v>88714.28571428591</v>
      </c>
    </row>
    <row r="29" spans="2:29" s="23" customFormat="1" ht="19.5" customHeight="1">
      <c r="B29" s="4" t="s">
        <v>214</v>
      </c>
      <c r="C29" s="258">
        <v>1</v>
      </c>
      <c r="D29" s="258"/>
      <c r="E29" s="260"/>
      <c r="F29" s="278">
        <v>5000</v>
      </c>
      <c r="G29" s="257">
        <f t="shared" si="5"/>
        <v>5000</v>
      </c>
      <c r="H29" s="34">
        <f t="shared" si="5"/>
        <v>5000</v>
      </c>
      <c r="I29" s="34">
        <f t="shared" si="5"/>
        <v>5000</v>
      </c>
      <c r="J29" s="34">
        <f t="shared" si="5"/>
        <v>5000</v>
      </c>
      <c r="K29" s="34">
        <f t="shared" si="5"/>
        <v>5000</v>
      </c>
      <c r="L29" s="34">
        <f t="shared" si="5"/>
        <v>5000</v>
      </c>
      <c r="M29" s="34">
        <f t="shared" si="5"/>
        <v>5000</v>
      </c>
      <c r="N29" s="34">
        <f t="shared" si="5"/>
        <v>5000</v>
      </c>
      <c r="O29" s="34">
        <f t="shared" si="5"/>
        <v>5000</v>
      </c>
      <c r="P29" s="34">
        <f t="shared" si="5"/>
        <v>5000</v>
      </c>
      <c r="Q29" s="34">
        <f t="shared" si="6"/>
        <v>5000</v>
      </c>
      <c r="R29" s="34">
        <f t="shared" si="6"/>
        <v>5000</v>
      </c>
      <c r="S29" s="34">
        <f t="shared" si="6"/>
        <v>5000</v>
      </c>
      <c r="T29" s="34">
        <f t="shared" si="6"/>
        <v>5000</v>
      </c>
      <c r="U29" s="34">
        <f t="shared" si="6"/>
        <v>5000</v>
      </c>
      <c r="V29" s="34">
        <f t="shared" si="6"/>
        <v>5000</v>
      </c>
      <c r="W29" s="34">
        <f t="shared" si="6"/>
        <v>5000</v>
      </c>
      <c r="X29" s="34">
        <f t="shared" si="6"/>
        <v>5000</v>
      </c>
      <c r="Y29" s="34">
        <f t="shared" si="6"/>
        <v>5000</v>
      </c>
      <c r="Z29" s="35">
        <f t="shared" si="6"/>
        <v>5000</v>
      </c>
      <c r="AA29" s="36">
        <f>+SUMPRODUCT(G29:Z29,$G$35:$Z$35)</f>
        <v>73549.18708760315</v>
      </c>
      <c r="AB29" s="36">
        <f>(IF(ISBLANK(C29),0,IF(D29,0,((1+$G$14)^MOD($Z$18-C29,MAX(E29,1)))*((1+$G$14)^-$Z$18)*F29/((1+$G$14)^(MAX(E29,1))-1))))*(1+$G$14)</f>
        <v>74307.95576954003</v>
      </c>
      <c r="AC29" s="36">
        <f>+AA29+AB29</f>
        <v>147857.1428571432</v>
      </c>
    </row>
    <row r="30" spans="2:29" s="23" customFormat="1" ht="19.5" customHeight="1">
      <c r="B30" s="4" t="s">
        <v>215</v>
      </c>
      <c r="C30" s="258">
        <v>1</v>
      </c>
      <c r="D30" s="258"/>
      <c r="E30" s="260"/>
      <c r="F30" s="278">
        <v>5000</v>
      </c>
      <c r="G30" s="257">
        <f t="shared" si="5"/>
        <v>5000</v>
      </c>
      <c r="H30" s="34">
        <f t="shared" si="5"/>
        <v>5000</v>
      </c>
      <c r="I30" s="34">
        <f t="shared" si="5"/>
        <v>5000</v>
      </c>
      <c r="J30" s="34">
        <f t="shared" si="5"/>
        <v>5000</v>
      </c>
      <c r="K30" s="34">
        <f t="shared" si="5"/>
        <v>5000</v>
      </c>
      <c r="L30" s="34">
        <f t="shared" si="5"/>
        <v>5000</v>
      </c>
      <c r="M30" s="34">
        <f t="shared" si="5"/>
        <v>5000</v>
      </c>
      <c r="N30" s="34">
        <f t="shared" si="5"/>
        <v>5000</v>
      </c>
      <c r="O30" s="34">
        <f t="shared" si="5"/>
        <v>5000</v>
      </c>
      <c r="P30" s="34">
        <f t="shared" si="5"/>
        <v>5000</v>
      </c>
      <c r="Q30" s="34">
        <f t="shared" si="6"/>
        <v>5000</v>
      </c>
      <c r="R30" s="34">
        <f t="shared" si="6"/>
        <v>5000</v>
      </c>
      <c r="S30" s="34">
        <f t="shared" si="6"/>
        <v>5000</v>
      </c>
      <c r="T30" s="34">
        <f t="shared" si="6"/>
        <v>5000</v>
      </c>
      <c r="U30" s="34">
        <f t="shared" si="6"/>
        <v>5000</v>
      </c>
      <c r="V30" s="34">
        <f t="shared" si="6"/>
        <v>5000</v>
      </c>
      <c r="W30" s="34">
        <f t="shared" si="6"/>
        <v>5000</v>
      </c>
      <c r="X30" s="34">
        <f t="shared" si="6"/>
        <v>5000</v>
      </c>
      <c r="Y30" s="34">
        <f t="shared" si="6"/>
        <v>5000</v>
      </c>
      <c r="Z30" s="35">
        <f t="shared" si="6"/>
        <v>5000</v>
      </c>
      <c r="AA30" s="36">
        <f>+SUMPRODUCT(G30:Z30,$G$35:$Z$35)</f>
        <v>73549.18708760315</v>
      </c>
      <c r="AB30" s="36">
        <f>(IF(ISBLANK(C30),0,IF(D30,0,((1+$G$14)^MOD($Z$18-C30,MAX(E30,1)))*((1+$G$14)^-$Z$18)*F30/((1+$G$14)^(MAX(E30,1))-1))))*(1+$G$14)</f>
        <v>74307.95576954003</v>
      </c>
      <c r="AC30" s="36">
        <f>+AA30+AB30</f>
        <v>147857.1428571432</v>
      </c>
    </row>
    <row r="31" spans="2:29" s="23" customFormat="1" ht="19.5" customHeight="1" thickBot="1">
      <c r="B31" s="4" t="s">
        <v>216</v>
      </c>
      <c r="C31" s="258">
        <v>1</v>
      </c>
      <c r="D31" s="258"/>
      <c r="E31" s="260"/>
      <c r="F31" s="278">
        <v>500</v>
      </c>
      <c r="G31" s="257">
        <f t="shared" si="5"/>
        <v>500</v>
      </c>
      <c r="H31" s="34">
        <f t="shared" si="5"/>
        <v>500</v>
      </c>
      <c r="I31" s="34">
        <f t="shared" si="5"/>
        <v>500</v>
      </c>
      <c r="J31" s="34">
        <f t="shared" si="5"/>
        <v>500</v>
      </c>
      <c r="K31" s="34">
        <f t="shared" si="5"/>
        <v>500</v>
      </c>
      <c r="L31" s="34">
        <f t="shared" si="5"/>
        <v>500</v>
      </c>
      <c r="M31" s="34">
        <f t="shared" si="5"/>
        <v>500</v>
      </c>
      <c r="N31" s="34">
        <f t="shared" si="5"/>
        <v>500</v>
      </c>
      <c r="O31" s="34">
        <f t="shared" si="5"/>
        <v>500</v>
      </c>
      <c r="P31" s="34">
        <f t="shared" si="5"/>
        <v>500</v>
      </c>
      <c r="Q31" s="34">
        <f t="shared" si="6"/>
        <v>500</v>
      </c>
      <c r="R31" s="34">
        <f t="shared" si="6"/>
        <v>500</v>
      </c>
      <c r="S31" s="34">
        <f t="shared" si="6"/>
        <v>500</v>
      </c>
      <c r="T31" s="34">
        <f t="shared" si="6"/>
        <v>500</v>
      </c>
      <c r="U31" s="34">
        <f t="shared" si="6"/>
        <v>500</v>
      </c>
      <c r="V31" s="34">
        <f t="shared" si="6"/>
        <v>500</v>
      </c>
      <c r="W31" s="34">
        <f t="shared" si="6"/>
        <v>500</v>
      </c>
      <c r="X31" s="34">
        <f t="shared" si="6"/>
        <v>500</v>
      </c>
      <c r="Y31" s="34">
        <f t="shared" si="6"/>
        <v>500</v>
      </c>
      <c r="Z31" s="35">
        <f t="shared" si="6"/>
        <v>500</v>
      </c>
      <c r="AA31" s="36">
        <f>+SUMPRODUCT(G31:Z31,$G$35:$Z$35)</f>
        <v>7354.918708760314</v>
      </c>
      <c r="AB31" s="36">
        <f>(IF(ISBLANK(C31),0,IF(D31,0,((1+$G$14)^MOD($Z$18-C31,MAX(E31,1)))*((1+$G$14)^-$Z$18)*F31/((1+$G$14)^(MAX(E31,1))-1))))*(1+$G$14)</f>
        <v>7430.795576954004</v>
      </c>
      <c r="AC31" s="36">
        <f>+AA31+AB31</f>
        <v>14785.714285714319</v>
      </c>
    </row>
    <row r="32" spans="2:30" s="23" customFormat="1" ht="30.75" customHeight="1" thickBot="1">
      <c r="B32" s="350"/>
      <c r="C32" s="350"/>
      <c r="D32" s="350"/>
      <c r="E32" s="350"/>
      <c r="F32" s="351" t="s">
        <v>184</v>
      </c>
      <c r="G32" s="169">
        <f aca="true" t="shared" si="7" ref="G32:Z32">SUM(G27:G31)+SUM(G19:G25)</f>
        <v>104725</v>
      </c>
      <c r="H32" s="170">
        <f t="shared" si="7"/>
        <v>64725</v>
      </c>
      <c r="I32" s="170">
        <f t="shared" si="7"/>
        <v>64725</v>
      </c>
      <c r="J32" s="170">
        <f t="shared" si="7"/>
        <v>88725</v>
      </c>
      <c r="K32" s="170">
        <f t="shared" si="7"/>
        <v>84725</v>
      </c>
      <c r="L32" s="170">
        <f t="shared" si="7"/>
        <v>22725</v>
      </c>
      <c r="M32" s="170">
        <f t="shared" si="7"/>
        <v>22725</v>
      </c>
      <c r="N32" s="170">
        <f t="shared" si="7"/>
        <v>23725</v>
      </c>
      <c r="O32" s="170">
        <f t="shared" si="7"/>
        <v>19725</v>
      </c>
      <c r="P32" s="170">
        <f t="shared" si="7"/>
        <v>19726.5</v>
      </c>
      <c r="Q32" s="170">
        <f t="shared" si="7"/>
        <v>19725</v>
      </c>
      <c r="R32" s="170">
        <f t="shared" si="7"/>
        <v>23725</v>
      </c>
      <c r="S32" s="170">
        <f t="shared" si="7"/>
        <v>19725</v>
      </c>
      <c r="T32" s="170">
        <f t="shared" si="7"/>
        <v>19725</v>
      </c>
      <c r="U32" s="170">
        <f t="shared" si="7"/>
        <v>19725</v>
      </c>
      <c r="V32" s="170">
        <f t="shared" si="7"/>
        <v>23725</v>
      </c>
      <c r="W32" s="170">
        <f t="shared" si="7"/>
        <v>19725</v>
      </c>
      <c r="X32" s="170">
        <f t="shared" si="7"/>
        <v>19725</v>
      </c>
      <c r="Y32" s="170">
        <f t="shared" si="7"/>
        <v>19725</v>
      </c>
      <c r="Z32" s="171">
        <f t="shared" si="7"/>
        <v>23726.5</v>
      </c>
      <c r="AA32" s="172"/>
      <c r="AB32" s="172"/>
      <c r="AC32" s="353" t="s">
        <v>169</v>
      </c>
      <c r="AD32" s="352"/>
    </row>
    <row r="33" spans="2:29" s="23" customFormat="1" ht="30.75" customHeight="1" thickBot="1">
      <c r="B33" s="43"/>
      <c r="C33" s="43"/>
      <c r="D33" s="43"/>
      <c r="E33" s="43"/>
      <c r="F33" s="45" t="s">
        <v>103</v>
      </c>
      <c r="G33" s="174">
        <f aca="true" t="shared" si="8" ref="G33:Z33">G32*(1+$G$14)^-(G18-1)</f>
        <v>104725</v>
      </c>
      <c r="H33" s="175">
        <f t="shared" si="8"/>
        <v>62536.231884057976</v>
      </c>
      <c r="I33" s="175">
        <f t="shared" si="8"/>
        <v>60421.480081215435</v>
      </c>
      <c r="J33" s="175">
        <f t="shared" si="8"/>
        <v>80024.86656039528</v>
      </c>
      <c r="K33" s="175">
        <f t="shared" si="8"/>
        <v>73832.94274176155</v>
      </c>
      <c r="L33" s="175">
        <f t="shared" si="8"/>
        <v>19133.84021685996</v>
      </c>
      <c r="M33" s="175">
        <f t="shared" si="8"/>
        <v>18486.802141893684</v>
      </c>
      <c r="N33" s="175">
        <f t="shared" si="8"/>
        <v>18647.63554222361</v>
      </c>
      <c r="O33" s="175">
        <f t="shared" si="8"/>
        <v>14979.392946365542</v>
      </c>
      <c r="P33" s="175">
        <f t="shared" si="8"/>
        <v>14473.944022898424</v>
      </c>
      <c r="Q33" s="175">
        <f t="shared" si="8"/>
        <v>13983.423600425256</v>
      </c>
      <c r="R33" s="175">
        <f t="shared" si="8"/>
        <v>16250.337058226422</v>
      </c>
      <c r="S33" s="175">
        <f t="shared" si="8"/>
        <v>13053.675558753068</v>
      </c>
      <c r="T33" s="175">
        <f t="shared" si="8"/>
        <v>12612.246916669636</v>
      </c>
      <c r="U33" s="175">
        <f t="shared" si="8"/>
        <v>12185.745813207375</v>
      </c>
      <c r="V33" s="175">
        <f t="shared" si="8"/>
        <v>14161.229926873499</v>
      </c>
      <c r="W33" s="175">
        <f t="shared" si="8"/>
        <v>11375.524108574184</v>
      </c>
      <c r="X33" s="175">
        <f t="shared" si="8"/>
        <v>10990.844549347037</v>
      </c>
      <c r="Y33" s="175">
        <f t="shared" si="8"/>
        <v>10619.173477629989</v>
      </c>
      <c r="Z33" s="176">
        <f t="shared" si="8"/>
        <v>12341.473987961914</v>
      </c>
      <c r="AA33" s="177">
        <f>SUM(AA27:AA31)+SUM(AA19:AA25)</f>
        <v>594835.8111353399</v>
      </c>
      <c r="AB33" s="323">
        <f>SUM(AB27:AB31)+SUM(AB19:AB25)</f>
        <v>347663.1626688676</v>
      </c>
      <c r="AC33" s="354">
        <f>+AA33+AB33</f>
        <v>942498.9738042075</v>
      </c>
    </row>
    <row r="34" spans="2:31" s="23" customFormat="1" ht="18.75" customHeight="1">
      <c r="B34" s="43"/>
      <c r="C34" s="43"/>
      <c r="D34" s="43"/>
      <c r="E34" s="43"/>
      <c r="F34" s="45"/>
      <c r="G34" s="47"/>
      <c r="H34" s="47"/>
      <c r="I34" s="47"/>
      <c r="J34" s="47"/>
      <c r="K34" s="47"/>
      <c r="L34" s="47"/>
      <c r="M34" s="47"/>
      <c r="N34" s="47"/>
      <c r="O34" s="47"/>
      <c r="P34" s="47"/>
      <c r="Q34" s="47"/>
      <c r="R34" s="47"/>
      <c r="S34" s="47"/>
      <c r="T34" s="47"/>
      <c r="U34" s="47"/>
      <c r="V34" s="47"/>
      <c r="W34" s="47"/>
      <c r="X34" s="47"/>
      <c r="Y34" s="47"/>
      <c r="Z34" s="47"/>
      <c r="AA34" s="47"/>
      <c r="AB34" s="47"/>
      <c r="AC34" s="45"/>
      <c r="AD34" s="45"/>
      <c r="AE34" s="45"/>
    </row>
    <row r="35" spans="5:28" s="23" customFormat="1" ht="20.25" customHeight="1">
      <c r="E35" s="109" t="s">
        <v>178</v>
      </c>
      <c r="F35" s="110"/>
      <c r="G35" s="406">
        <f aca="true" t="shared" si="9" ref="G35:Z35">+(1+$G$14)^-(G18-1)</f>
        <v>1</v>
      </c>
      <c r="H35" s="406">
        <f t="shared" si="9"/>
        <v>0.9661835748792271</v>
      </c>
      <c r="I35" s="406">
        <f t="shared" si="9"/>
        <v>0.933510700366403</v>
      </c>
      <c r="J35" s="406">
        <f t="shared" si="9"/>
        <v>0.9019427056680224</v>
      </c>
      <c r="K35" s="406">
        <f t="shared" si="9"/>
        <v>0.8714422276985724</v>
      </c>
      <c r="L35" s="406">
        <f t="shared" si="9"/>
        <v>0.8419731668585242</v>
      </c>
      <c r="M35" s="406">
        <f t="shared" si="9"/>
        <v>0.8135006443077528</v>
      </c>
      <c r="N35" s="406">
        <f t="shared" si="9"/>
        <v>0.7859909606838191</v>
      </c>
      <c r="O35" s="406">
        <f t="shared" si="9"/>
        <v>0.7594115562162506</v>
      </c>
      <c r="P35" s="406">
        <f t="shared" si="9"/>
        <v>0.7337309721896141</v>
      </c>
      <c r="Q35" s="406">
        <f t="shared" si="9"/>
        <v>0.7089188137097722</v>
      </c>
      <c r="R35" s="406">
        <f t="shared" si="9"/>
        <v>0.6849457137292485</v>
      </c>
      <c r="S35" s="406">
        <f t="shared" si="9"/>
        <v>0.661783298289129</v>
      </c>
      <c r="T35" s="406">
        <f t="shared" si="9"/>
        <v>0.6394041529363567</v>
      </c>
      <c r="U35" s="406">
        <f t="shared" si="9"/>
        <v>0.617781790276673</v>
      </c>
      <c r="V35" s="406">
        <f t="shared" si="9"/>
        <v>0.596890618624805</v>
      </c>
      <c r="W35" s="406">
        <f t="shared" si="9"/>
        <v>0.5767059117147875</v>
      </c>
      <c r="X35" s="406">
        <f t="shared" si="9"/>
        <v>0.5572037794345773</v>
      </c>
      <c r="Y35" s="406">
        <f t="shared" si="9"/>
        <v>0.5383611395503163</v>
      </c>
      <c r="Z35" s="407">
        <f t="shared" si="9"/>
        <v>0.5201556903867791</v>
      </c>
      <c r="AA35" s="48"/>
      <c r="AB35" s="48"/>
    </row>
    <row r="36" spans="3:30" ht="19.5" customHeight="1">
      <c r="C36" s="11"/>
      <c r="D36" s="11"/>
      <c r="F36" s="49"/>
      <c r="G36" s="50"/>
      <c r="H36" s="50"/>
      <c r="I36" s="50"/>
      <c r="J36" s="50"/>
      <c r="K36" s="50"/>
      <c r="L36" s="50"/>
      <c r="M36" s="50"/>
      <c r="N36" s="50"/>
      <c r="O36" s="50"/>
      <c r="P36" s="50"/>
      <c r="Q36" s="51"/>
      <c r="R36" s="51"/>
      <c r="S36" s="51"/>
      <c r="T36" s="51"/>
      <c r="U36" s="51"/>
      <c r="V36" s="51"/>
      <c r="W36" s="51"/>
      <c r="X36" s="48"/>
      <c r="Y36" s="48"/>
      <c r="Z36" s="48"/>
      <c r="AA36" s="48"/>
      <c r="AB36" s="48"/>
      <c r="AC36" s="11"/>
      <c r="AD36" s="11"/>
    </row>
    <row r="37" spans="3:30" ht="24" customHeight="1" thickBot="1">
      <c r="C37" s="11"/>
      <c r="D37" s="11"/>
      <c r="F37" s="52"/>
      <c r="G37" s="13"/>
      <c r="H37" s="13"/>
      <c r="I37" s="48"/>
      <c r="J37" s="48"/>
      <c r="K37" s="48"/>
      <c r="L37" s="48"/>
      <c r="M37" s="48"/>
      <c r="N37" s="48"/>
      <c r="O37" s="48"/>
      <c r="P37" s="48"/>
      <c r="Q37" s="48"/>
      <c r="R37" s="48"/>
      <c r="S37" s="48"/>
      <c r="T37" s="48"/>
      <c r="U37" s="48"/>
      <c r="V37" s="48"/>
      <c r="W37" s="48"/>
      <c r="X37" s="48"/>
      <c r="Y37" s="48"/>
      <c r="Z37" s="48"/>
      <c r="AA37" s="48"/>
      <c r="AB37" s="13"/>
      <c r="AC37" s="11"/>
      <c r="AD37" s="11"/>
    </row>
    <row r="38" spans="3:30" ht="41.25" customHeight="1">
      <c r="C38" s="11"/>
      <c r="D38" s="11"/>
      <c r="E38" s="10"/>
      <c r="F38" s="10"/>
      <c r="G38" s="530" t="s">
        <v>57</v>
      </c>
      <c r="H38" s="531"/>
      <c r="I38" s="531"/>
      <c r="J38" s="531"/>
      <c r="K38" s="531"/>
      <c r="L38" s="531"/>
      <c r="M38" s="531"/>
      <c r="N38" s="531"/>
      <c r="O38" s="531"/>
      <c r="P38" s="531"/>
      <c r="Q38" s="531"/>
      <c r="R38" s="531"/>
      <c r="S38" s="531"/>
      <c r="T38" s="531"/>
      <c r="U38" s="531"/>
      <c r="V38" s="531"/>
      <c r="W38" s="531"/>
      <c r="X38" s="531"/>
      <c r="Y38" s="531"/>
      <c r="Z38" s="531"/>
      <c r="AA38" s="515" t="s">
        <v>131</v>
      </c>
      <c r="AB38" s="515" t="s">
        <v>130</v>
      </c>
      <c r="AC38" s="515" t="s">
        <v>129</v>
      </c>
      <c r="AD38" s="11"/>
    </row>
    <row r="39" spans="3:30" ht="33.75" customHeight="1" thickBot="1">
      <c r="C39" s="10"/>
      <c r="D39" s="10"/>
      <c r="E39" s="10"/>
      <c r="F39" s="10"/>
      <c r="G39" s="299">
        <v>1</v>
      </c>
      <c r="H39" s="297">
        <v>2</v>
      </c>
      <c r="I39" s="297">
        <v>3</v>
      </c>
      <c r="J39" s="297">
        <v>4</v>
      </c>
      <c r="K39" s="297">
        <v>5</v>
      </c>
      <c r="L39" s="297">
        <v>6</v>
      </c>
      <c r="M39" s="297">
        <v>7</v>
      </c>
      <c r="N39" s="297">
        <v>8</v>
      </c>
      <c r="O39" s="297">
        <v>9</v>
      </c>
      <c r="P39" s="297">
        <v>10</v>
      </c>
      <c r="Q39" s="297">
        <v>11</v>
      </c>
      <c r="R39" s="297">
        <v>12</v>
      </c>
      <c r="S39" s="297">
        <v>13</v>
      </c>
      <c r="T39" s="297">
        <v>14</v>
      </c>
      <c r="U39" s="297">
        <v>15</v>
      </c>
      <c r="V39" s="297">
        <v>16</v>
      </c>
      <c r="W39" s="297">
        <v>17</v>
      </c>
      <c r="X39" s="297">
        <v>18</v>
      </c>
      <c r="Y39" s="297">
        <v>19</v>
      </c>
      <c r="Z39" s="298">
        <v>20</v>
      </c>
      <c r="AA39" s="520"/>
      <c r="AB39" s="520"/>
      <c r="AC39" s="520"/>
      <c r="AD39" s="11"/>
    </row>
    <row r="40" spans="2:30" ht="24" customHeight="1">
      <c r="B40" s="524" t="s">
        <v>179</v>
      </c>
      <c r="C40" s="646"/>
      <c r="D40" s="646"/>
      <c r="E40" s="646"/>
      <c r="F40" s="647"/>
      <c r="G40" s="293">
        <f aca="true" t="shared" si="10" ref="G40:Z40">G32</f>
        <v>104725</v>
      </c>
      <c r="H40" s="292">
        <f t="shared" si="10"/>
        <v>64725</v>
      </c>
      <c r="I40" s="292">
        <f t="shared" si="10"/>
        <v>64725</v>
      </c>
      <c r="J40" s="292">
        <f t="shared" si="10"/>
        <v>88725</v>
      </c>
      <c r="K40" s="292">
        <f t="shared" si="10"/>
        <v>84725</v>
      </c>
      <c r="L40" s="292">
        <f t="shared" si="10"/>
        <v>22725</v>
      </c>
      <c r="M40" s="292">
        <f t="shared" si="10"/>
        <v>22725</v>
      </c>
      <c r="N40" s="292">
        <f t="shared" si="10"/>
        <v>23725</v>
      </c>
      <c r="O40" s="292">
        <f t="shared" si="10"/>
        <v>19725</v>
      </c>
      <c r="P40" s="292">
        <f t="shared" si="10"/>
        <v>19726.5</v>
      </c>
      <c r="Q40" s="292">
        <f t="shared" si="10"/>
        <v>19725</v>
      </c>
      <c r="R40" s="292">
        <f t="shared" si="10"/>
        <v>23725</v>
      </c>
      <c r="S40" s="292">
        <f t="shared" si="10"/>
        <v>19725</v>
      </c>
      <c r="T40" s="292">
        <f t="shared" si="10"/>
        <v>19725</v>
      </c>
      <c r="U40" s="292">
        <f t="shared" si="10"/>
        <v>19725</v>
      </c>
      <c r="V40" s="292">
        <f t="shared" si="10"/>
        <v>23725</v>
      </c>
      <c r="W40" s="292">
        <f t="shared" si="10"/>
        <v>19725</v>
      </c>
      <c r="X40" s="292">
        <f t="shared" si="10"/>
        <v>19725</v>
      </c>
      <c r="Y40" s="292">
        <f t="shared" si="10"/>
        <v>19725</v>
      </c>
      <c r="Z40" s="300">
        <f t="shared" si="10"/>
        <v>23726.5</v>
      </c>
      <c r="AA40" s="301">
        <f>AA33</f>
        <v>594835.8111353399</v>
      </c>
      <c r="AB40" s="302">
        <f>AB33</f>
        <v>347663.1626688676</v>
      </c>
      <c r="AC40" s="303">
        <f>AC33</f>
        <v>942498.9738042075</v>
      </c>
      <c r="AD40" s="11"/>
    </row>
    <row r="41" spans="2:30" ht="24" customHeight="1">
      <c r="B41" s="527" t="s">
        <v>167</v>
      </c>
      <c r="C41" s="644"/>
      <c r="D41" s="644"/>
      <c r="E41" s="644"/>
      <c r="F41" s="645"/>
      <c r="G41" s="284">
        <f aca="true" t="shared" si="11" ref="G41:AC41">G27</f>
        <v>1225</v>
      </c>
      <c r="H41" s="285">
        <f t="shared" si="11"/>
        <v>1225</v>
      </c>
      <c r="I41" s="285">
        <f t="shared" si="11"/>
        <v>1225</v>
      </c>
      <c r="J41" s="285">
        <f t="shared" si="11"/>
        <v>1225</v>
      </c>
      <c r="K41" s="285">
        <f t="shared" si="11"/>
        <v>1225</v>
      </c>
      <c r="L41" s="285">
        <f t="shared" si="11"/>
        <v>1225</v>
      </c>
      <c r="M41" s="285">
        <f t="shared" si="11"/>
        <v>1225</v>
      </c>
      <c r="N41" s="285">
        <f t="shared" si="11"/>
        <v>1225</v>
      </c>
      <c r="O41" s="285">
        <f t="shared" si="11"/>
        <v>1225</v>
      </c>
      <c r="P41" s="285">
        <f t="shared" si="11"/>
        <v>1225</v>
      </c>
      <c r="Q41" s="285">
        <f t="shared" si="11"/>
        <v>1225</v>
      </c>
      <c r="R41" s="285">
        <f t="shared" si="11"/>
        <v>1225</v>
      </c>
      <c r="S41" s="285">
        <f t="shared" si="11"/>
        <v>1225</v>
      </c>
      <c r="T41" s="285">
        <f t="shared" si="11"/>
        <v>1225</v>
      </c>
      <c r="U41" s="285">
        <f t="shared" si="11"/>
        <v>1225</v>
      </c>
      <c r="V41" s="285">
        <f t="shared" si="11"/>
        <v>1225</v>
      </c>
      <c r="W41" s="285">
        <f t="shared" si="11"/>
        <v>1225</v>
      </c>
      <c r="X41" s="285">
        <f t="shared" si="11"/>
        <v>1225</v>
      </c>
      <c r="Y41" s="285">
        <f t="shared" si="11"/>
        <v>1225</v>
      </c>
      <c r="Z41" s="286">
        <f t="shared" si="11"/>
        <v>1225</v>
      </c>
      <c r="AA41" s="304">
        <f t="shared" si="11"/>
        <v>18019.55083646277</v>
      </c>
      <c r="AB41" s="291">
        <f t="shared" si="11"/>
        <v>18205.449163537305</v>
      </c>
      <c r="AC41" s="294">
        <f t="shared" si="11"/>
        <v>36225.00000000007</v>
      </c>
      <c r="AD41" s="11"/>
    </row>
    <row r="42" spans="2:30" ht="24" customHeight="1">
      <c r="B42" s="527" t="str">
        <f>"Total amount payable to landowner"&amp;IF($C$8="yes"," (excluding GST)","")</f>
        <v>Total amount payable to landowner (excluding GST)</v>
      </c>
      <c r="C42" s="644"/>
      <c r="D42" s="644"/>
      <c r="E42" s="644"/>
      <c r="F42" s="645"/>
      <c r="G42" s="284">
        <f aca="true" t="shared" si="12" ref="G42:AC42">G40-G41</f>
        <v>103500</v>
      </c>
      <c r="H42" s="285">
        <f t="shared" si="12"/>
        <v>63500</v>
      </c>
      <c r="I42" s="285">
        <f t="shared" si="12"/>
        <v>63500</v>
      </c>
      <c r="J42" s="285">
        <f t="shared" si="12"/>
        <v>87500</v>
      </c>
      <c r="K42" s="285">
        <f t="shared" si="12"/>
        <v>83500</v>
      </c>
      <c r="L42" s="285">
        <f t="shared" si="12"/>
        <v>21500</v>
      </c>
      <c r="M42" s="285">
        <f t="shared" si="12"/>
        <v>21500</v>
      </c>
      <c r="N42" s="285">
        <f t="shared" si="12"/>
        <v>22500</v>
      </c>
      <c r="O42" s="285">
        <f t="shared" si="12"/>
        <v>18500</v>
      </c>
      <c r="P42" s="285">
        <f t="shared" si="12"/>
        <v>18501.5</v>
      </c>
      <c r="Q42" s="285">
        <f t="shared" si="12"/>
        <v>18500</v>
      </c>
      <c r="R42" s="285">
        <f t="shared" si="12"/>
        <v>22500</v>
      </c>
      <c r="S42" s="285">
        <f t="shared" si="12"/>
        <v>18500</v>
      </c>
      <c r="T42" s="285">
        <f t="shared" si="12"/>
        <v>18500</v>
      </c>
      <c r="U42" s="285">
        <f t="shared" si="12"/>
        <v>18500</v>
      </c>
      <c r="V42" s="285">
        <f t="shared" si="12"/>
        <v>22500</v>
      </c>
      <c r="W42" s="285">
        <f t="shared" si="12"/>
        <v>18500</v>
      </c>
      <c r="X42" s="285">
        <f t="shared" si="12"/>
        <v>18500</v>
      </c>
      <c r="Y42" s="285">
        <f t="shared" si="12"/>
        <v>18500</v>
      </c>
      <c r="Z42" s="286">
        <f t="shared" si="12"/>
        <v>22501.5</v>
      </c>
      <c r="AA42" s="304">
        <f t="shared" si="12"/>
        <v>576816.2602988771</v>
      </c>
      <c r="AB42" s="291">
        <f t="shared" si="12"/>
        <v>329457.7135053303</v>
      </c>
      <c r="AC42" s="294">
        <f t="shared" si="12"/>
        <v>906273.9738042074</v>
      </c>
      <c r="AD42" s="11"/>
    </row>
    <row r="43" spans="2:30" ht="24" customHeight="1">
      <c r="B43" s="528" t="str">
        <f>IF($C$8="yes","GST payable to landowner","")</f>
        <v>GST payable to landowner</v>
      </c>
      <c r="C43" s="642"/>
      <c r="D43" s="642"/>
      <c r="E43" s="642"/>
      <c r="F43" s="643"/>
      <c r="G43" s="284">
        <f aca="true" t="shared" si="13" ref="G43:AC43">IF($C$8="Yes",G42*0.1,"")</f>
        <v>10350</v>
      </c>
      <c r="H43" s="285">
        <f t="shared" si="13"/>
        <v>6350</v>
      </c>
      <c r="I43" s="285">
        <f t="shared" si="13"/>
        <v>6350</v>
      </c>
      <c r="J43" s="285">
        <f t="shared" si="13"/>
        <v>8750</v>
      </c>
      <c r="K43" s="285">
        <f t="shared" si="13"/>
        <v>8350</v>
      </c>
      <c r="L43" s="285">
        <f t="shared" si="13"/>
        <v>2150</v>
      </c>
      <c r="M43" s="285">
        <f t="shared" si="13"/>
        <v>2150</v>
      </c>
      <c r="N43" s="285">
        <f t="shared" si="13"/>
        <v>2250</v>
      </c>
      <c r="O43" s="285">
        <f t="shared" si="13"/>
        <v>1850</v>
      </c>
      <c r="P43" s="285">
        <f t="shared" si="13"/>
        <v>1850.15</v>
      </c>
      <c r="Q43" s="285">
        <f t="shared" si="13"/>
        <v>1850</v>
      </c>
      <c r="R43" s="285">
        <f t="shared" si="13"/>
        <v>2250</v>
      </c>
      <c r="S43" s="285">
        <f t="shared" si="13"/>
        <v>1850</v>
      </c>
      <c r="T43" s="285">
        <f t="shared" si="13"/>
        <v>1850</v>
      </c>
      <c r="U43" s="285">
        <f t="shared" si="13"/>
        <v>1850</v>
      </c>
      <c r="V43" s="285">
        <f t="shared" si="13"/>
        <v>2250</v>
      </c>
      <c r="W43" s="285">
        <f t="shared" si="13"/>
        <v>1850</v>
      </c>
      <c r="X43" s="285">
        <f t="shared" si="13"/>
        <v>1850</v>
      </c>
      <c r="Y43" s="285">
        <f t="shared" si="13"/>
        <v>1850</v>
      </c>
      <c r="Z43" s="286">
        <f t="shared" si="13"/>
        <v>2250.15</v>
      </c>
      <c r="AA43" s="304">
        <f t="shared" si="13"/>
        <v>57681.62602988772</v>
      </c>
      <c r="AB43" s="291">
        <f t="shared" si="13"/>
        <v>32945.77135053303</v>
      </c>
      <c r="AC43" s="294">
        <f t="shared" si="13"/>
        <v>90627.39738042075</v>
      </c>
      <c r="AD43" s="11"/>
    </row>
    <row r="44" spans="2:30" ht="24" customHeight="1" thickBot="1">
      <c r="B44" s="521" t="str">
        <f>IF($C$8="yes","Total amount payable to landowner (including GST)","")</f>
        <v>Total amount payable to landowner (including GST)</v>
      </c>
      <c r="C44" s="644"/>
      <c r="D44" s="644"/>
      <c r="E44" s="644"/>
      <c r="F44" s="645"/>
      <c r="G44" s="287">
        <f aca="true" t="shared" si="14" ref="G44:AC44">IF($C$8="Yes",G42*1.1,"")</f>
        <v>113850.00000000001</v>
      </c>
      <c r="H44" s="288">
        <f t="shared" si="14"/>
        <v>69850</v>
      </c>
      <c r="I44" s="288">
        <f t="shared" si="14"/>
        <v>69850</v>
      </c>
      <c r="J44" s="288">
        <f t="shared" si="14"/>
        <v>96250.00000000001</v>
      </c>
      <c r="K44" s="288">
        <f t="shared" si="14"/>
        <v>91850.00000000001</v>
      </c>
      <c r="L44" s="288">
        <f t="shared" si="14"/>
        <v>23650.000000000004</v>
      </c>
      <c r="M44" s="288">
        <f t="shared" si="14"/>
        <v>23650.000000000004</v>
      </c>
      <c r="N44" s="288">
        <f t="shared" si="14"/>
        <v>24750.000000000004</v>
      </c>
      <c r="O44" s="288">
        <f t="shared" si="14"/>
        <v>20350</v>
      </c>
      <c r="P44" s="288">
        <f t="shared" si="14"/>
        <v>20351.65</v>
      </c>
      <c r="Q44" s="288">
        <f t="shared" si="14"/>
        <v>20350</v>
      </c>
      <c r="R44" s="288">
        <f t="shared" si="14"/>
        <v>24750.000000000004</v>
      </c>
      <c r="S44" s="288">
        <f t="shared" si="14"/>
        <v>20350</v>
      </c>
      <c r="T44" s="288">
        <f t="shared" si="14"/>
        <v>20350</v>
      </c>
      <c r="U44" s="288">
        <f t="shared" si="14"/>
        <v>20350</v>
      </c>
      <c r="V44" s="288">
        <f t="shared" si="14"/>
        <v>24750.000000000004</v>
      </c>
      <c r="W44" s="288">
        <f t="shared" si="14"/>
        <v>20350</v>
      </c>
      <c r="X44" s="288">
        <f t="shared" si="14"/>
        <v>20350</v>
      </c>
      <c r="Y44" s="288">
        <f t="shared" si="14"/>
        <v>20350</v>
      </c>
      <c r="Z44" s="289">
        <f t="shared" si="14"/>
        <v>24751.65</v>
      </c>
      <c r="AA44" s="305">
        <f t="shared" si="14"/>
        <v>634497.886328765</v>
      </c>
      <c r="AB44" s="295">
        <f t="shared" si="14"/>
        <v>362403.4848558634</v>
      </c>
      <c r="AC44" s="296">
        <f t="shared" si="14"/>
        <v>996901.3711846282</v>
      </c>
      <c r="AD44" s="55"/>
    </row>
    <row r="45" spans="2:33" ht="15">
      <c r="B45" s="20"/>
      <c r="F45" s="132"/>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55"/>
      <c r="AE45" s="271"/>
      <c r="AF45" s="271"/>
      <c r="AG45" s="271"/>
    </row>
    <row r="46" spans="2:30" ht="15">
      <c r="B46" s="20"/>
      <c r="F46" s="132"/>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55"/>
    </row>
    <row r="47" spans="2:30" ht="15">
      <c r="B47" s="20"/>
      <c r="F47" s="45"/>
      <c r="G47" s="114"/>
      <c r="H47" s="114"/>
      <c r="I47" s="114"/>
      <c r="J47" s="114"/>
      <c r="K47" s="114"/>
      <c r="L47" s="114"/>
      <c r="M47" s="114"/>
      <c r="N47" s="114"/>
      <c r="O47" s="114"/>
      <c r="P47" s="114"/>
      <c r="Q47" s="114"/>
      <c r="R47" s="114"/>
      <c r="S47" s="114"/>
      <c r="T47" s="114"/>
      <c r="U47" s="114"/>
      <c r="V47" s="114"/>
      <c r="W47" s="114"/>
      <c r="X47" s="114"/>
      <c r="Y47" s="114"/>
      <c r="Z47" s="114"/>
      <c r="AA47" s="114"/>
      <c r="AB47" s="114"/>
      <c r="AC47" s="115"/>
      <c r="AD47" s="55"/>
    </row>
    <row r="48" spans="2:30" ht="15">
      <c r="B48" s="20"/>
      <c r="F48" s="45"/>
      <c r="G48" s="114"/>
      <c r="H48" s="114"/>
      <c r="I48" s="114"/>
      <c r="J48" s="114"/>
      <c r="K48" s="114"/>
      <c r="L48" s="114"/>
      <c r="M48" s="114"/>
      <c r="N48" s="114"/>
      <c r="O48" s="114"/>
      <c r="P48" s="114"/>
      <c r="Q48" s="114"/>
      <c r="R48" s="114"/>
      <c r="S48" s="114"/>
      <c r="T48" s="114"/>
      <c r="U48" s="114"/>
      <c r="V48" s="114"/>
      <c r="W48" s="114"/>
      <c r="X48" s="114"/>
      <c r="Y48" s="114"/>
      <c r="Z48" s="114"/>
      <c r="AA48" s="114"/>
      <c r="AB48" s="114"/>
      <c r="AC48" s="115"/>
      <c r="AD48" s="55"/>
    </row>
    <row r="49" spans="2:30" ht="15">
      <c r="B49" s="20"/>
      <c r="F49" s="45"/>
      <c r="G49" s="114"/>
      <c r="H49" s="114"/>
      <c r="I49" s="114"/>
      <c r="J49" s="114"/>
      <c r="K49" s="114"/>
      <c r="L49" s="114"/>
      <c r="M49" s="114"/>
      <c r="N49" s="114"/>
      <c r="O49" s="114"/>
      <c r="P49" s="114"/>
      <c r="Q49" s="114"/>
      <c r="R49" s="114"/>
      <c r="S49" s="114"/>
      <c r="T49" s="114"/>
      <c r="U49" s="114"/>
      <c r="V49" s="114"/>
      <c r="W49" s="114"/>
      <c r="X49" s="114"/>
      <c r="Y49" s="114"/>
      <c r="Z49" s="114"/>
      <c r="AA49" s="114"/>
      <c r="AB49" s="114"/>
      <c r="AC49" s="115"/>
      <c r="AD49" s="55"/>
    </row>
    <row r="50" spans="2:30" ht="12">
      <c r="B50" s="20"/>
      <c r="G50" s="56"/>
      <c r="H50" s="10"/>
      <c r="I50" s="10"/>
      <c r="J50" s="10"/>
      <c r="K50" s="10"/>
      <c r="L50" s="10"/>
      <c r="M50" s="10"/>
      <c r="N50" s="10"/>
      <c r="O50" s="10"/>
      <c r="P50" s="10"/>
      <c r="Q50" s="10"/>
      <c r="R50" s="10"/>
      <c r="S50" s="10"/>
      <c r="T50" s="10"/>
      <c r="U50" s="10"/>
      <c r="V50" s="10"/>
      <c r="W50" s="10"/>
      <c r="X50" s="10"/>
      <c r="Y50" s="10"/>
      <c r="Z50" s="10"/>
      <c r="AA50" s="10"/>
      <c r="AB50" s="57"/>
      <c r="AC50" s="57"/>
      <c r="AD50" s="57"/>
    </row>
    <row r="51" spans="7:30" ht="12">
      <c r="G51" s="56"/>
      <c r="H51" s="10"/>
      <c r="I51" s="10"/>
      <c r="J51" s="10"/>
      <c r="K51" s="10"/>
      <c r="L51" s="10"/>
      <c r="M51" s="10"/>
      <c r="N51" s="10"/>
      <c r="O51" s="10"/>
      <c r="P51" s="10"/>
      <c r="Q51" s="10"/>
      <c r="R51" s="10"/>
      <c r="S51" s="10"/>
      <c r="T51" s="10"/>
      <c r="U51" s="10"/>
      <c r="V51" s="10"/>
      <c r="W51" s="10"/>
      <c r="X51" s="10"/>
      <c r="Y51" s="10"/>
      <c r="Z51" s="10"/>
      <c r="AA51" s="10"/>
      <c r="AB51" s="57"/>
      <c r="AC51" s="57"/>
      <c r="AD51" s="57"/>
    </row>
    <row r="52" spans="7:30" ht="12">
      <c r="G52" s="56"/>
      <c r="H52" s="10"/>
      <c r="I52" s="10"/>
      <c r="J52" s="10"/>
      <c r="K52" s="10"/>
      <c r="L52" s="10"/>
      <c r="M52" s="10"/>
      <c r="N52" s="10"/>
      <c r="O52" s="10"/>
      <c r="P52" s="10"/>
      <c r="Q52" s="10"/>
      <c r="R52" s="10"/>
      <c r="S52" s="10"/>
      <c r="T52" s="10"/>
      <c r="U52" s="10"/>
      <c r="V52" s="10"/>
      <c r="W52" s="10"/>
      <c r="X52" s="10"/>
      <c r="Y52" s="10"/>
      <c r="Z52" s="10"/>
      <c r="AA52" s="10"/>
      <c r="AB52" s="57"/>
      <c r="AC52" s="57"/>
      <c r="AD52" s="57"/>
    </row>
    <row r="53" spans="7:30" ht="12">
      <c r="G53" s="56"/>
      <c r="H53" s="10"/>
      <c r="I53" s="10"/>
      <c r="J53" s="10"/>
      <c r="K53" s="10"/>
      <c r="L53" s="10"/>
      <c r="M53" s="10"/>
      <c r="N53" s="10"/>
      <c r="O53" s="10"/>
      <c r="P53" s="10"/>
      <c r="Q53" s="10"/>
      <c r="R53" s="10"/>
      <c r="S53" s="10"/>
      <c r="T53" s="10"/>
      <c r="U53" s="10"/>
      <c r="V53" s="10"/>
      <c r="W53" s="10"/>
      <c r="X53" s="10"/>
      <c r="Y53" s="10"/>
      <c r="Z53" s="10"/>
      <c r="AA53" s="10"/>
      <c r="AB53" s="57"/>
      <c r="AC53" s="57"/>
      <c r="AD53" s="57"/>
    </row>
    <row r="54" spans="6:30" ht="12">
      <c r="F54" s="58"/>
      <c r="G54" s="10"/>
      <c r="H54" s="10"/>
      <c r="I54" s="10"/>
      <c r="J54" s="10"/>
      <c r="K54" s="10"/>
      <c r="L54" s="10"/>
      <c r="M54" s="10"/>
      <c r="N54" s="10"/>
      <c r="O54" s="10"/>
      <c r="P54" s="10"/>
      <c r="Q54" s="10"/>
      <c r="R54" s="10"/>
      <c r="S54" s="10"/>
      <c r="T54" s="10"/>
      <c r="U54" s="10"/>
      <c r="V54" s="10"/>
      <c r="W54" s="10"/>
      <c r="X54" s="10"/>
      <c r="Y54" s="10"/>
      <c r="Z54" s="10"/>
      <c r="AA54" s="10"/>
      <c r="AB54" s="57"/>
      <c r="AC54" s="57"/>
      <c r="AD54" s="57"/>
    </row>
    <row r="55" spans="2:30" ht="12">
      <c r="B55" s="11"/>
      <c r="C55" s="11"/>
      <c r="D55" s="11"/>
      <c r="E55" s="11"/>
      <c r="F55" s="11"/>
      <c r="G55" s="11"/>
      <c r="H55" s="10"/>
      <c r="I55" s="10"/>
      <c r="J55" s="10"/>
      <c r="K55" s="10"/>
      <c r="L55" s="10"/>
      <c r="M55" s="10"/>
      <c r="N55" s="10"/>
      <c r="O55" s="10"/>
      <c r="P55" s="10"/>
      <c r="Q55" s="10"/>
      <c r="R55" s="10"/>
      <c r="S55" s="10"/>
      <c r="T55" s="10"/>
      <c r="U55" s="10"/>
      <c r="V55" s="10"/>
      <c r="W55" s="10"/>
      <c r="X55" s="10"/>
      <c r="Y55" s="10"/>
      <c r="Z55" s="10"/>
      <c r="AA55" s="10"/>
      <c r="AB55" s="57"/>
      <c r="AC55" s="57"/>
      <c r="AD55" s="57"/>
    </row>
    <row r="56" spans="2:30" ht="12">
      <c r="B56" s="11"/>
      <c r="C56" s="11"/>
      <c r="D56" s="11"/>
      <c r="E56" s="11"/>
      <c r="F56" s="11"/>
      <c r="G56" s="11"/>
      <c r="H56" s="10"/>
      <c r="I56" s="10"/>
      <c r="J56" s="10"/>
      <c r="K56" s="10"/>
      <c r="L56" s="10"/>
      <c r="M56" s="10"/>
      <c r="N56" s="10"/>
      <c r="O56" s="10"/>
      <c r="P56" s="10"/>
      <c r="Q56" s="10"/>
      <c r="R56" s="10"/>
      <c r="S56" s="10"/>
      <c r="T56" s="10"/>
      <c r="U56" s="10"/>
      <c r="V56" s="10"/>
      <c r="W56" s="10"/>
      <c r="X56" s="10"/>
      <c r="Y56" s="10"/>
      <c r="Z56" s="10"/>
      <c r="AA56" s="10"/>
      <c r="AB56" s="10"/>
      <c r="AC56" s="10"/>
      <c r="AD56" s="10"/>
    </row>
    <row r="57" spans="2:30" ht="12.75" customHeight="1">
      <c r="B57" s="11"/>
      <c r="C57" s="11"/>
      <c r="D57" s="11"/>
      <c r="E57" s="11"/>
      <c r="F57" s="11"/>
      <c r="G57" s="11"/>
      <c r="H57" s="10"/>
      <c r="I57" s="10"/>
      <c r="J57" s="10"/>
      <c r="K57" s="10"/>
      <c r="L57" s="10"/>
      <c r="M57" s="10"/>
      <c r="N57" s="10"/>
      <c r="O57" s="10"/>
      <c r="P57" s="10"/>
      <c r="Q57" s="10"/>
      <c r="R57" s="10"/>
      <c r="S57" s="10"/>
      <c r="T57" s="10"/>
      <c r="U57" s="10"/>
      <c r="V57" s="10"/>
      <c r="W57" s="10"/>
      <c r="X57" s="10"/>
      <c r="Y57" s="10"/>
      <c r="Z57" s="10"/>
      <c r="AA57" s="10"/>
      <c r="AB57" s="10"/>
      <c r="AC57" s="10"/>
      <c r="AD57" s="10"/>
    </row>
    <row r="58" spans="2:30" ht="28.5" customHeight="1">
      <c r="B58" s="11"/>
      <c r="C58" s="11"/>
      <c r="D58" s="11"/>
      <c r="E58" s="11"/>
      <c r="F58" s="11"/>
      <c r="G58" s="11"/>
      <c r="H58" s="10"/>
      <c r="I58" s="10"/>
      <c r="J58" s="10"/>
      <c r="K58" s="10"/>
      <c r="L58" s="10"/>
      <c r="M58" s="10"/>
      <c r="N58" s="10"/>
      <c r="O58" s="10"/>
      <c r="P58" s="10"/>
      <c r="Q58" s="10"/>
      <c r="R58" s="10"/>
      <c r="S58" s="10"/>
      <c r="T58" s="10"/>
      <c r="U58" s="10"/>
      <c r="V58" s="10"/>
      <c r="W58" s="10"/>
      <c r="X58" s="10"/>
      <c r="Y58" s="10"/>
      <c r="Z58" s="10"/>
      <c r="AA58" s="10"/>
      <c r="AB58" s="10"/>
      <c r="AC58" s="10"/>
      <c r="AD58" s="10"/>
    </row>
    <row r="59" spans="2:30" ht="15" customHeight="1">
      <c r="B59" s="11"/>
      <c r="C59" s="11"/>
      <c r="D59" s="11"/>
      <c r="E59" s="11"/>
      <c r="F59" s="11"/>
      <c r="G59" s="11"/>
      <c r="H59" s="10"/>
      <c r="I59" s="10"/>
      <c r="J59" s="10"/>
      <c r="K59" s="10"/>
      <c r="L59" s="10"/>
      <c r="M59" s="10"/>
      <c r="N59" s="10"/>
      <c r="O59" s="10"/>
      <c r="P59" s="10"/>
      <c r="Q59" s="10"/>
      <c r="R59" s="10"/>
      <c r="S59" s="10"/>
      <c r="T59" s="10"/>
      <c r="U59" s="10"/>
      <c r="V59" s="10"/>
      <c r="W59" s="10"/>
      <c r="X59" s="10"/>
      <c r="Y59" s="10"/>
      <c r="Z59" s="10"/>
      <c r="AA59" s="10"/>
      <c r="AB59" s="10"/>
      <c r="AC59" s="10"/>
      <c r="AD59" s="10"/>
    </row>
    <row r="60" spans="2:30" ht="15" customHeight="1">
      <c r="B60" s="11"/>
      <c r="C60" s="11"/>
      <c r="D60" s="11"/>
      <c r="E60" s="11"/>
      <c r="F60" s="11"/>
      <c r="G60" s="11"/>
      <c r="H60" s="10"/>
      <c r="I60" s="10"/>
      <c r="J60" s="10"/>
      <c r="K60" s="10"/>
      <c r="L60" s="10"/>
      <c r="M60" s="10"/>
      <c r="N60" s="10"/>
      <c r="O60" s="10"/>
      <c r="P60" s="10"/>
      <c r="Q60" s="10"/>
      <c r="R60" s="10"/>
      <c r="S60" s="10"/>
      <c r="T60" s="10"/>
      <c r="U60" s="10"/>
      <c r="V60" s="10"/>
      <c r="W60" s="10"/>
      <c r="X60" s="10"/>
      <c r="Y60" s="10"/>
      <c r="Z60" s="10"/>
      <c r="AA60" s="10"/>
      <c r="AB60" s="10"/>
      <c r="AC60" s="10"/>
      <c r="AD60" s="10"/>
    </row>
    <row r="61" spans="2:30" ht="15" customHeight="1">
      <c r="B61" s="11"/>
      <c r="C61" s="11"/>
      <c r="D61" s="11"/>
      <c r="E61" s="11"/>
      <c r="F61" s="11"/>
      <c r="G61" s="11"/>
      <c r="H61" s="10"/>
      <c r="I61" s="10"/>
      <c r="J61" s="10"/>
      <c r="K61" s="10"/>
      <c r="L61" s="10"/>
      <c r="M61" s="10"/>
      <c r="N61" s="10"/>
      <c r="O61" s="10"/>
      <c r="P61" s="10"/>
      <c r="Q61" s="10"/>
      <c r="R61" s="10"/>
      <c r="S61" s="10"/>
      <c r="T61" s="10"/>
      <c r="U61" s="10"/>
      <c r="V61" s="10"/>
      <c r="W61" s="10"/>
      <c r="X61" s="10"/>
      <c r="Y61" s="10"/>
      <c r="Z61" s="10"/>
      <c r="AA61" s="10"/>
      <c r="AB61" s="10"/>
      <c r="AC61" s="10"/>
      <c r="AD61" s="10"/>
    </row>
    <row r="62" spans="2:30" ht="15" customHeight="1">
      <c r="B62" s="11"/>
      <c r="C62" s="11"/>
      <c r="D62" s="11"/>
      <c r="E62" s="11"/>
      <c r="F62" s="11"/>
      <c r="G62" s="11"/>
      <c r="H62" s="10"/>
      <c r="I62" s="10"/>
      <c r="J62" s="10"/>
      <c r="K62" s="10"/>
      <c r="L62" s="10"/>
      <c r="M62" s="10"/>
      <c r="N62" s="10"/>
      <c r="O62" s="10"/>
      <c r="P62" s="10"/>
      <c r="Q62" s="10"/>
      <c r="R62" s="10"/>
      <c r="S62" s="10"/>
      <c r="T62" s="10"/>
      <c r="U62" s="10"/>
      <c r="V62" s="10"/>
      <c r="W62" s="10"/>
      <c r="X62" s="10"/>
      <c r="Y62" s="10"/>
      <c r="Z62" s="10"/>
      <c r="AA62" s="10"/>
      <c r="AB62" s="10"/>
      <c r="AC62" s="10"/>
      <c r="AD62" s="10"/>
    </row>
    <row r="63" spans="2:30" ht="12">
      <c r="B63" s="11"/>
      <c r="C63" s="11"/>
      <c r="D63" s="11"/>
      <c r="E63" s="11"/>
      <c r="F63" s="11"/>
      <c r="G63" s="11"/>
      <c r="H63" s="10"/>
      <c r="I63" s="10"/>
      <c r="J63" s="10"/>
      <c r="K63" s="10"/>
      <c r="L63" s="10"/>
      <c r="M63" s="10"/>
      <c r="N63" s="10"/>
      <c r="O63" s="10"/>
      <c r="P63" s="10"/>
      <c r="Q63" s="10"/>
      <c r="R63" s="10"/>
      <c r="S63" s="10"/>
      <c r="T63" s="10"/>
      <c r="U63" s="10"/>
      <c r="V63" s="10"/>
      <c r="W63" s="10"/>
      <c r="X63" s="10"/>
      <c r="Y63" s="10"/>
      <c r="Z63" s="10"/>
      <c r="AA63" s="10"/>
      <c r="AB63" s="10"/>
      <c r="AC63" s="10"/>
      <c r="AD63" s="10"/>
    </row>
    <row r="64" spans="2:30" ht="15" customHeight="1">
      <c r="B64" s="11"/>
      <c r="C64" s="11"/>
      <c r="D64" s="11"/>
      <c r="E64" s="11"/>
      <c r="F64" s="11"/>
      <c r="G64" s="11"/>
      <c r="H64" s="10"/>
      <c r="I64" s="10"/>
      <c r="J64" s="10"/>
      <c r="K64" s="10"/>
      <c r="L64" s="10"/>
      <c r="M64" s="10"/>
      <c r="N64" s="10"/>
      <c r="O64" s="10"/>
      <c r="P64" s="10"/>
      <c r="Q64" s="10"/>
      <c r="R64" s="10"/>
      <c r="S64" s="10"/>
      <c r="T64" s="10"/>
      <c r="U64" s="10"/>
      <c r="V64" s="10"/>
      <c r="W64" s="10"/>
      <c r="X64" s="10"/>
      <c r="Y64" s="10"/>
      <c r="Z64" s="10"/>
      <c r="AA64" s="10"/>
      <c r="AB64" s="10"/>
      <c r="AC64" s="10"/>
      <c r="AD64" s="10"/>
    </row>
    <row r="65" spans="2:30" ht="12">
      <c r="B65" s="11"/>
      <c r="C65" s="11"/>
      <c r="D65" s="11"/>
      <c r="E65" s="11"/>
      <c r="F65" s="11"/>
      <c r="G65" s="11"/>
      <c r="H65" s="10"/>
      <c r="I65" s="10"/>
      <c r="J65" s="10"/>
      <c r="K65" s="10"/>
      <c r="L65" s="10"/>
      <c r="M65" s="10"/>
      <c r="N65" s="10"/>
      <c r="O65" s="10"/>
      <c r="P65" s="10"/>
      <c r="Q65" s="10"/>
      <c r="R65" s="10"/>
      <c r="S65" s="10"/>
      <c r="T65" s="10"/>
      <c r="U65" s="10"/>
      <c r="V65" s="10"/>
      <c r="W65" s="10"/>
      <c r="X65" s="10"/>
      <c r="Y65" s="10"/>
      <c r="Z65" s="10"/>
      <c r="AA65" s="10"/>
      <c r="AB65" s="10"/>
      <c r="AC65" s="10"/>
      <c r="AD65" s="10"/>
    </row>
    <row r="66" spans="2:30" ht="12">
      <c r="B66" s="11"/>
      <c r="C66" s="11"/>
      <c r="D66" s="11"/>
      <c r="E66" s="11"/>
      <c r="F66" s="11"/>
      <c r="G66" s="11"/>
      <c r="H66" s="10"/>
      <c r="I66" s="10"/>
      <c r="J66" s="10"/>
      <c r="K66" s="10"/>
      <c r="L66" s="10"/>
      <c r="M66" s="10"/>
      <c r="N66" s="10"/>
      <c r="O66" s="10"/>
      <c r="P66" s="10"/>
      <c r="Q66" s="10"/>
      <c r="R66" s="10"/>
      <c r="S66" s="10"/>
      <c r="T66" s="10"/>
      <c r="U66" s="10"/>
      <c r="V66" s="10"/>
      <c r="W66" s="10"/>
      <c r="X66" s="10"/>
      <c r="Y66" s="10"/>
      <c r="Z66" s="10"/>
      <c r="AA66" s="10"/>
      <c r="AB66" s="10"/>
      <c r="AC66" s="10"/>
      <c r="AD66" s="10"/>
    </row>
    <row r="67" spans="2:30" ht="12">
      <c r="B67" s="11"/>
      <c r="C67" s="11"/>
      <c r="D67" s="11"/>
      <c r="E67" s="11"/>
      <c r="F67" s="11"/>
      <c r="G67" s="11"/>
      <c r="H67" s="10"/>
      <c r="I67" s="10"/>
      <c r="J67" s="10"/>
      <c r="K67" s="10"/>
      <c r="L67" s="10"/>
      <c r="M67" s="10"/>
      <c r="N67" s="10"/>
      <c r="O67" s="10"/>
      <c r="P67" s="10"/>
      <c r="Q67" s="10"/>
      <c r="R67" s="10"/>
      <c r="S67" s="10"/>
      <c r="T67" s="10"/>
      <c r="U67" s="10"/>
      <c r="V67" s="10"/>
      <c r="W67" s="10"/>
      <c r="X67" s="10"/>
      <c r="Y67" s="10"/>
      <c r="Z67" s="10"/>
      <c r="AA67" s="10"/>
      <c r="AB67" s="10"/>
      <c r="AC67" s="10"/>
      <c r="AD67" s="10"/>
    </row>
    <row r="68" spans="2:30" ht="12">
      <c r="B68" s="11"/>
      <c r="C68" s="11"/>
      <c r="D68" s="11"/>
      <c r="E68" s="11"/>
      <c r="F68" s="11"/>
      <c r="G68" s="11"/>
      <c r="H68" s="10"/>
      <c r="I68" s="10"/>
      <c r="J68" s="10"/>
      <c r="K68" s="10"/>
      <c r="L68" s="10"/>
      <c r="M68" s="10"/>
      <c r="N68" s="10"/>
      <c r="O68" s="10"/>
      <c r="P68" s="10"/>
      <c r="Q68" s="10"/>
      <c r="R68" s="10"/>
      <c r="S68" s="10"/>
      <c r="T68" s="10"/>
      <c r="U68" s="10"/>
      <c r="V68" s="10"/>
      <c r="W68" s="10"/>
      <c r="X68" s="10"/>
      <c r="Y68" s="10"/>
      <c r="Z68" s="10"/>
      <c r="AA68" s="10"/>
      <c r="AB68" s="10"/>
      <c r="AC68" s="10"/>
      <c r="AD68" s="10"/>
    </row>
    <row r="69" spans="7:30" ht="12">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7:30" ht="12">
      <c r="G70" s="10"/>
      <c r="H70" s="10"/>
      <c r="I70" s="10"/>
      <c r="J70" s="10"/>
      <c r="K70" s="10"/>
      <c r="L70" s="10"/>
      <c r="M70" s="10"/>
      <c r="N70" s="10"/>
      <c r="O70" s="10"/>
      <c r="P70" s="10"/>
      <c r="Q70" s="10"/>
      <c r="R70" s="10"/>
      <c r="S70" s="10"/>
      <c r="T70" s="10"/>
      <c r="U70" s="10"/>
      <c r="V70" s="10"/>
      <c r="W70" s="10"/>
      <c r="X70" s="10"/>
      <c r="Y70" s="10"/>
      <c r="Z70" s="10"/>
      <c r="AA70" s="10"/>
      <c r="AB70" s="10"/>
      <c r="AC70" s="10"/>
      <c r="AD70" s="10"/>
    </row>
    <row r="71" spans="6:30" ht="12">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6:30" ht="12">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row>
    <row r="73" spans="6:30" ht="12">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row>
    <row r="74" spans="6:30" ht="12">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row>
    <row r="75" spans="6:30" ht="12">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row>
    <row r="76" spans="6:30" ht="12">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row>
    <row r="77" spans="6:30" ht="12">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row>
    <row r="78" spans="6:30" ht="12">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row>
    <row r="79" spans="6:30" ht="12">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6:30" ht="12">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row>
    <row r="81" spans="6:30" ht="12">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row>
    <row r="82" spans="6:30" ht="12">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row>
    <row r="83" spans="6:30" ht="12">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row>
    <row r="84" spans="6:30" ht="12">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row>
    <row r="85" spans="6:30" ht="12">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row>
    <row r="86" spans="6:30" ht="12">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row>
    <row r="87" spans="6:30" ht="12">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row>
    <row r="88" spans="4:30" ht="12">
      <c r="D88" s="277"/>
      <c r="E88" s="277"/>
      <c r="F88" s="19"/>
      <c r="G88" s="19"/>
      <c r="H88" s="19"/>
      <c r="I88" s="19"/>
      <c r="J88" s="19"/>
      <c r="K88" s="19"/>
      <c r="L88" s="19"/>
      <c r="M88" s="19"/>
      <c r="N88" s="10"/>
      <c r="O88" s="10"/>
      <c r="P88" s="10"/>
      <c r="Q88" s="10"/>
      <c r="R88" s="10"/>
      <c r="S88" s="10"/>
      <c r="T88" s="10"/>
      <c r="U88" s="10"/>
      <c r="V88" s="10"/>
      <c r="W88" s="10"/>
      <c r="X88" s="10"/>
      <c r="Y88" s="10"/>
      <c r="Z88" s="10"/>
      <c r="AA88" s="10"/>
      <c r="AB88" s="10"/>
      <c r="AC88" s="10"/>
      <c r="AD88" s="10"/>
    </row>
    <row r="89" spans="4:30" ht="12.75" thickBot="1">
      <c r="D89" s="277"/>
      <c r="E89" s="277"/>
      <c r="F89" s="19"/>
      <c r="G89" s="19"/>
      <c r="H89" s="19"/>
      <c r="I89" s="19"/>
      <c r="J89" s="19"/>
      <c r="K89" s="19"/>
      <c r="L89" s="19"/>
      <c r="M89" s="19"/>
      <c r="N89" s="279"/>
      <c r="O89" s="279"/>
      <c r="P89" s="10"/>
      <c r="Q89" s="10"/>
      <c r="R89" s="10"/>
      <c r="S89" s="10"/>
      <c r="T89" s="10"/>
      <c r="U89" s="10"/>
      <c r="V89" s="10"/>
      <c r="W89" s="10"/>
      <c r="X89" s="10"/>
      <c r="Y89" s="10"/>
      <c r="Z89" s="10"/>
      <c r="AA89" s="10"/>
      <c r="AB89" s="10"/>
      <c r="AC89" s="10"/>
      <c r="AD89" s="10"/>
    </row>
    <row r="90" spans="4:30" ht="12">
      <c r="D90" s="277"/>
      <c r="E90" s="306"/>
      <c r="F90" s="307"/>
      <c r="G90" s="307"/>
      <c r="H90" s="308"/>
      <c r="I90" s="19"/>
      <c r="J90" s="19"/>
      <c r="K90" s="19"/>
      <c r="L90" s="19"/>
      <c r="M90" s="19"/>
      <c r="N90" s="279"/>
      <c r="O90" s="279"/>
      <c r="P90" s="10"/>
      <c r="Q90" s="10"/>
      <c r="R90" s="10"/>
      <c r="S90" s="10"/>
      <c r="T90" s="10"/>
      <c r="U90" s="10"/>
      <c r="V90" s="10"/>
      <c r="W90" s="10"/>
      <c r="X90" s="10"/>
      <c r="Y90" s="10"/>
      <c r="Z90" s="10"/>
      <c r="AA90" s="10"/>
      <c r="AB90" s="10"/>
      <c r="AC90" s="10"/>
      <c r="AD90" s="10"/>
    </row>
    <row r="91" spans="4:30" ht="12">
      <c r="D91" s="277"/>
      <c r="E91" s="309"/>
      <c r="F91" s="310"/>
      <c r="G91" s="310"/>
      <c r="H91" s="311"/>
      <c r="I91" s="19"/>
      <c r="J91" s="19"/>
      <c r="K91" s="19"/>
      <c r="L91" s="19"/>
      <c r="M91" s="19"/>
      <c r="N91" s="279"/>
      <c r="O91" s="279"/>
      <c r="P91" s="10"/>
      <c r="Q91" s="10"/>
      <c r="R91" s="10"/>
      <c r="S91" s="10"/>
      <c r="T91" s="10"/>
      <c r="U91" s="10"/>
      <c r="V91" s="10"/>
      <c r="W91" s="10"/>
      <c r="X91" s="10"/>
      <c r="Y91" s="10"/>
      <c r="Z91" s="10"/>
      <c r="AA91" s="10"/>
      <c r="AB91" s="10"/>
      <c r="AC91" s="10"/>
      <c r="AD91" s="10"/>
    </row>
    <row r="92" spans="4:30" ht="12">
      <c r="D92" s="277"/>
      <c r="E92" s="309"/>
      <c r="F92" s="310" t="s">
        <v>168</v>
      </c>
      <c r="G92" s="310"/>
      <c r="H92" s="311"/>
      <c r="I92" s="19"/>
      <c r="J92" s="19"/>
      <c r="K92" s="19"/>
      <c r="L92" s="19"/>
      <c r="M92" s="19"/>
      <c r="N92" s="279"/>
      <c r="O92" s="279"/>
      <c r="P92" s="10"/>
      <c r="Q92" s="10"/>
      <c r="R92" s="10"/>
      <c r="S92" s="10"/>
      <c r="T92" s="10"/>
      <c r="U92" s="10"/>
      <c r="V92" s="10"/>
      <c r="W92" s="10"/>
      <c r="X92" s="10"/>
      <c r="Y92" s="10"/>
      <c r="Z92" s="10"/>
      <c r="AA92" s="10"/>
      <c r="AB92" s="10"/>
      <c r="AC92" s="10"/>
      <c r="AD92" s="10"/>
    </row>
    <row r="93" spans="3:30" ht="12">
      <c r="C93" s="20"/>
      <c r="D93" s="277"/>
      <c r="E93" s="309"/>
      <c r="F93" s="310"/>
      <c r="G93" s="310"/>
      <c r="H93" s="311"/>
      <c r="I93" s="19"/>
      <c r="J93" s="19"/>
      <c r="K93" s="19"/>
      <c r="L93" s="19"/>
      <c r="M93" s="19"/>
      <c r="N93" s="279"/>
      <c r="O93" s="279"/>
      <c r="P93" s="10"/>
      <c r="Q93" s="10"/>
      <c r="R93" s="10"/>
      <c r="S93" s="10"/>
      <c r="T93" s="10"/>
      <c r="U93" s="10"/>
      <c r="V93" s="10"/>
      <c r="W93" s="10"/>
      <c r="X93" s="10"/>
      <c r="Y93" s="10"/>
      <c r="Z93" s="10"/>
      <c r="AA93" s="10"/>
      <c r="AB93" s="10"/>
      <c r="AC93" s="10"/>
      <c r="AD93" s="10"/>
    </row>
    <row r="94" spans="3:30" ht="12">
      <c r="C94" s="20">
        <v>1</v>
      </c>
      <c r="D94" s="277"/>
      <c r="E94" s="309"/>
      <c r="F94" s="310"/>
      <c r="G94" s="310"/>
      <c r="H94" s="311"/>
      <c r="I94" s="19"/>
      <c r="J94" s="19"/>
      <c r="K94" s="19"/>
      <c r="L94" s="19"/>
      <c r="M94" s="19"/>
      <c r="N94" s="279"/>
      <c r="O94" s="279"/>
      <c r="P94" s="10"/>
      <c r="Q94" s="10"/>
      <c r="R94" s="10"/>
      <c r="S94" s="10"/>
      <c r="T94" s="10"/>
      <c r="U94" s="10"/>
      <c r="V94" s="10"/>
      <c r="W94" s="10"/>
      <c r="X94" s="10"/>
      <c r="Y94" s="10"/>
      <c r="Z94" s="10"/>
      <c r="AA94" s="10"/>
      <c r="AB94" s="10"/>
      <c r="AC94" s="10"/>
      <c r="AD94" s="10"/>
    </row>
    <row r="95" spans="3:30" ht="12">
      <c r="C95" s="20">
        <f aca="true" t="shared" si="15" ref="C95:C113">+C94+1</f>
        <v>2</v>
      </c>
      <c r="D95" s="277"/>
      <c r="E95" s="309"/>
      <c r="F95" s="310"/>
      <c r="G95" s="312" t="s">
        <v>123</v>
      </c>
      <c r="H95" s="313" t="s">
        <v>126</v>
      </c>
      <c r="I95" s="19"/>
      <c r="J95" s="19"/>
      <c r="K95" s="19"/>
      <c r="L95" s="19"/>
      <c r="M95" s="19"/>
      <c r="N95" s="279"/>
      <c r="O95" s="279"/>
      <c r="P95" s="10"/>
      <c r="Q95" s="10"/>
      <c r="R95" s="10"/>
      <c r="S95" s="10"/>
      <c r="T95" s="10"/>
      <c r="U95" s="10"/>
      <c r="V95" s="10"/>
      <c r="W95" s="10"/>
      <c r="X95" s="10"/>
      <c r="Y95" s="10"/>
      <c r="Z95" s="10"/>
      <c r="AA95" s="10"/>
      <c r="AB95" s="10"/>
      <c r="AC95" s="10"/>
      <c r="AD95" s="10"/>
    </row>
    <row r="96" spans="3:30" ht="12">
      <c r="C96" s="20">
        <f t="shared" si="15"/>
        <v>3</v>
      </c>
      <c r="D96" s="277"/>
      <c r="E96" s="309"/>
      <c r="F96" s="312" t="s">
        <v>163</v>
      </c>
      <c r="G96" s="312" t="str">
        <f>+ADDRESS(18+$G$98,1)</f>
        <v>$A$25</v>
      </c>
      <c r="H96" s="313" t="str">
        <f>+ADDRESS($G$98+$H$98+20,1)</f>
        <v>$A$31</v>
      </c>
      <c r="I96" s="19"/>
      <c r="J96" s="19"/>
      <c r="K96" s="19"/>
      <c r="L96" s="19"/>
      <c r="M96" s="19"/>
      <c r="N96" s="279"/>
      <c r="O96" s="279"/>
      <c r="P96" s="10"/>
      <c r="Q96" s="10"/>
      <c r="R96" s="10"/>
      <c r="S96" s="10"/>
      <c r="T96" s="10"/>
      <c r="U96" s="10"/>
      <c r="V96" s="10"/>
      <c r="W96" s="10"/>
      <c r="X96" s="10"/>
      <c r="Y96" s="10"/>
      <c r="Z96" s="10"/>
      <c r="AA96" s="10"/>
      <c r="AB96" s="10"/>
      <c r="AC96" s="10"/>
      <c r="AD96" s="10"/>
    </row>
    <row r="97" spans="3:30" ht="12">
      <c r="C97" s="20">
        <f t="shared" si="15"/>
        <v>4</v>
      </c>
      <c r="D97" s="277"/>
      <c r="E97" s="309"/>
      <c r="F97" s="312" t="s">
        <v>124</v>
      </c>
      <c r="G97" s="312" t="str">
        <f>RIGHT($G$96,LEN($G$96)-FIND("$",$G$96,3))</f>
        <v>25</v>
      </c>
      <c r="H97" s="313" t="str">
        <f>RIGHT($H$96,LEN($H$96)-FIND("$",$H$96,3))</f>
        <v>31</v>
      </c>
      <c r="I97" s="19"/>
      <c r="J97" s="19"/>
      <c r="K97" s="19"/>
      <c r="L97" s="19"/>
      <c r="M97" s="19"/>
      <c r="N97" s="279"/>
      <c r="O97" s="279"/>
      <c r="P97" s="10"/>
      <c r="Q97" s="10"/>
      <c r="R97" s="10"/>
      <c r="S97" s="10"/>
      <c r="T97" s="10"/>
      <c r="U97" s="10"/>
      <c r="V97" s="10"/>
      <c r="W97" s="10"/>
      <c r="X97" s="10"/>
      <c r="Y97" s="10"/>
      <c r="Z97" s="10"/>
      <c r="AA97" s="10"/>
      <c r="AB97" s="10"/>
      <c r="AC97" s="10"/>
      <c r="AD97" s="10"/>
    </row>
    <row r="98" spans="3:30" ht="12">
      <c r="C98" s="20">
        <f t="shared" si="15"/>
        <v>5</v>
      </c>
      <c r="D98" s="277"/>
      <c r="E98" s="309"/>
      <c r="F98" s="312" t="s">
        <v>125</v>
      </c>
      <c r="G98" s="314">
        <f>+COUNT(G19:G25)</f>
        <v>7</v>
      </c>
      <c r="H98" s="315">
        <f>+COUNT(G28:G31)</f>
        <v>4</v>
      </c>
      <c r="I98" s="19"/>
      <c r="J98" s="19"/>
      <c r="K98" s="19"/>
      <c r="L98" s="19"/>
      <c r="M98" s="19"/>
      <c r="N98" s="279"/>
      <c r="O98" s="279"/>
      <c r="P98" s="10"/>
      <c r="Q98" s="10"/>
      <c r="R98" s="10"/>
      <c r="S98" s="10"/>
      <c r="T98" s="10"/>
      <c r="U98" s="10"/>
      <c r="V98" s="10"/>
      <c r="W98" s="10"/>
      <c r="X98" s="10"/>
      <c r="Y98" s="10"/>
      <c r="Z98" s="10"/>
      <c r="AA98" s="10"/>
      <c r="AB98" s="10"/>
      <c r="AC98" s="10"/>
      <c r="AD98" s="10"/>
    </row>
    <row r="99" spans="3:30" ht="12">
      <c r="C99" s="20">
        <f t="shared" si="15"/>
        <v>6</v>
      </c>
      <c r="D99" s="277"/>
      <c r="E99" s="309"/>
      <c r="F99" s="310"/>
      <c r="G99" s="310"/>
      <c r="H99" s="311"/>
      <c r="I99" s="19"/>
      <c r="J99" s="19"/>
      <c r="K99" s="19"/>
      <c r="L99" s="19"/>
      <c r="M99" s="19"/>
      <c r="N99" s="279"/>
      <c r="O99" s="279"/>
      <c r="P99" s="10"/>
      <c r="Q99" s="10"/>
      <c r="R99" s="10"/>
      <c r="S99" s="10"/>
      <c r="T99" s="10"/>
      <c r="U99" s="10"/>
      <c r="V99" s="10"/>
      <c r="W99" s="10"/>
      <c r="X99" s="10"/>
      <c r="Y99" s="10"/>
      <c r="Z99" s="10"/>
      <c r="AA99" s="10"/>
      <c r="AB99" s="10"/>
      <c r="AC99" s="10"/>
      <c r="AD99" s="10"/>
    </row>
    <row r="100" spans="3:30" ht="12">
      <c r="C100" s="20">
        <f t="shared" si="15"/>
        <v>7</v>
      </c>
      <c r="D100" s="277"/>
      <c r="E100" s="309"/>
      <c r="F100" s="310"/>
      <c r="G100" s="310"/>
      <c r="H100" s="311"/>
      <c r="I100" s="19"/>
      <c r="J100" s="19"/>
      <c r="K100" s="19"/>
      <c r="L100" s="19"/>
      <c r="M100" s="19"/>
      <c r="N100" s="279"/>
      <c r="O100" s="279"/>
      <c r="P100" s="10"/>
      <c r="Q100" s="10"/>
      <c r="R100" s="10"/>
      <c r="S100" s="10"/>
      <c r="T100" s="10"/>
      <c r="U100" s="10"/>
      <c r="V100" s="10"/>
      <c r="W100" s="10"/>
      <c r="X100" s="10"/>
      <c r="Y100" s="10"/>
      <c r="Z100" s="10"/>
      <c r="AA100" s="10"/>
      <c r="AB100" s="10"/>
      <c r="AC100" s="10"/>
      <c r="AD100" s="10"/>
    </row>
    <row r="101" spans="3:30" ht="12">
      <c r="C101" s="20">
        <f t="shared" si="15"/>
        <v>8</v>
      </c>
      <c r="D101" s="277"/>
      <c r="E101" s="309"/>
      <c r="F101" s="310" t="s">
        <v>104</v>
      </c>
      <c r="G101" s="310"/>
      <c r="H101" s="311"/>
      <c r="I101" s="19"/>
      <c r="J101" s="19"/>
      <c r="K101" s="19"/>
      <c r="L101" s="19"/>
      <c r="M101" s="19"/>
      <c r="N101" s="279"/>
      <c r="O101" s="279"/>
      <c r="P101" s="10"/>
      <c r="Q101" s="10"/>
      <c r="R101" s="10"/>
      <c r="S101" s="10"/>
      <c r="T101" s="10"/>
      <c r="U101" s="10"/>
      <c r="V101" s="10"/>
      <c r="W101" s="10"/>
      <c r="X101" s="10"/>
      <c r="Y101" s="10"/>
      <c r="Z101" s="10"/>
      <c r="AA101" s="10"/>
      <c r="AB101" s="10"/>
      <c r="AC101" s="10"/>
      <c r="AD101" s="10"/>
    </row>
    <row r="102" spans="3:30" ht="12">
      <c r="C102" s="20">
        <f t="shared" si="15"/>
        <v>9</v>
      </c>
      <c r="D102" s="277"/>
      <c r="E102" s="309"/>
      <c r="F102" s="310" t="s">
        <v>166</v>
      </c>
      <c r="G102" s="310"/>
      <c r="H102" s="311"/>
      <c r="I102" s="19"/>
      <c r="J102" s="19"/>
      <c r="K102" s="19"/>
      <c r="L102" s="19"/>
      <c r="M102" s="19"/>
      <c r="N102" s="279"/>
      <c r="O102" s="279"/>
      <c r="P102" s="10"/>
      <c r="Q102" s="10"/>
      <c r="R102" s="10"/>
      <c r="S102" s="10"/>
      <c r="T102" s="10"/>
      <c r="U102" s="10"/>
      <c r="V102" s="10"/>
      <c r="W102" s="10"/>
      <c r="X102" s="10"/>
      <c r="Y102" s="10"/>
      <c r="Z102" s="10"/>
      <c r="AA102" s="10"/>
      <c r="AB102" s="10"/>
      <c r="AC102" s="10"/>
      <c r="AD102" s="10"/>
    </row>
    <row r="103" spans="3:30" ht="12.75" thickBot="1">
      <c r="C103" s="20">
        <f t="shared" si="15"/>
        <v>10</v>
      </c>
      <c r="D103" s="277"/>
      <c r="E103" s="316"/>
      <c r="F103" s="317"/>
      <c r="G103" s="317"/>
      <c r="H103" s="318"/>
      <c r="I103" s="19"/>
      <c r="J103" s="19"/>
      <c r="K103" s="19"/>
      <c r="L103" s="19"/>
      <c r="M103" s="19"/>
      <c r="N103" s="279"/>
      <c r="O103" s="279"/>
      <c r="P103" s="10"/>
      <c r="Q103" s="10"/>
      <c r="R103" s="10"/>
      <c r="S103" s="10"/>
      <c r="T103" s="10"/>
      <c r="U103" s="10"/>
      <c r="V103" s="10"/>
      <c r="W103" s="10"/>
      <c r="X103" s="10"/>
      <c r="Y103" s="10"/>
      <c r="Z103" s="10"/>
      <c r="AA103" s="10"/>
      <c r="AB103" s="10"/>
      <c r="AC103" s="10"/>
      <c r="AD103" s="10"/>
    </row>
    <row r="104" spans="3:30" ht="12">
      <c r="C104" s="20">
        <f t="shared" si="15"/>
        <v>11</v>
      </c>
      <c r="D104" s="277"/>
      <c r="E104" s="277"/>
      <c r="F104" s="19"/>
      <c r="G104" s="19"/>
      <c r="H104" s="19"/>
      <c r="I104" s="19"/>
      <c r="J104" s="19"/>
      <c r="K104" s="19"/>
      <c r="L104" s="19"/>
      <c r="M104" s="19"/>
      <c r="N104" s="279"/>
      <c r="O104" s="279"/>
      <c r="P104" s="10"/>
      <c r="Q104" s="10"/>
      <c r="R104" s="10"/>
      <c r="S104" s="10"/>
      <c r="T104" s="10"/>
      <c r="U104" s="10"/>
      <c r="V104" s="10"/>
      <c r="W104" s="10"/>
      <c r="X104" s="10"/>
      <c r="Y104" s="10"/>
      <c r="Z104" s="10"/>
      <c r="AA104" s="10"/>
      <c r="AB104" s="10"/>
      <c r="AC104" s="10"/>
      <c r="AD104" s="10"/>
    </row>
    <row r="105" spans="3:30" ht="12">
      <c r="C105" s="20">
        <f t="shared" si="15"/>
        <v>12</v>
      </c>
      <c r="D105" s="277"/>
      <c r="E105" s="277"/>
      <c r="F105" s="19"/>
      <c r="G105" s="19"/>
      <c r="H105" s="19"/>
      <c r="I105" s="19"/>
      <c r="J105" s="19"/>
      <c r="K105" s="19"/>
      <c r="L105" s="19"/>
      <c r="M105" s="19"/>
      <c r="N105" s="279"/>
      <c r="O105" s="279"/>
      <c r="P105" s="10"/>
      <c r="Q105" s="10"/>
      <c r="R105" s="10"/>
      <c r="S105" s="10"/>
      <c r="T105" s="10"/>
      <c r="U105" s="10"/>
      <c r="V105" s="10"/>
      <c r="W105" s="10"/>
      <c r="X105" s="10"/>
      <c r="Y105" s="10"/>
      <c r="Z105" s="10"/>
      <c r="AA105" s="10"/>
      <c r="AB105" s="10"/>
      <c r="AC105" s="10"/>
      <c r="AD105" s="10"/>
    </row>
    <row r="106" spans="3:30" ht="12">
      <c r="C106" s="20">
        <f t="shared" si="15"/>
        <v>13</v>
      </c>
      <c r="D106" s="277"/>
      <c r="E106" s="277"/>
      <c r="F106" s="19"/>
      <c r="G106" s="19"/>
      <c r="H106" s="19"/>
      <c r="I106" s="19"/>
      <c r="J106" s="19"/>
      <c r="K106" s="19"/>
      <c r="L106" s="19"/>
      <c r="M106" s="19"/>
      <c r="N106" s="279"/>
      <c r="O106" s="279"/>
      <c r="P106" s="10"/>
      <c r="Q106" s="10"/>
      <c r="R106" s="10"/>
      <c r="S106" s="10"/>
      <c r="T106" s="10"/>
      <c r="U106" s="10"/>
      <c r="V106" s="10"/>
      <c r="W106" s="10"/>
      <c r="X106" s="10"/>
      <c r="Y106" s="10"/>
      <c r="Z106" s="10"/>
      <c r="AA106" s="10"/>
      <c r="AB106" s="10"/>
      <c r="AC106" s="10"/>
      <c r="AD106" s="10"/>
    </row>
    <row r="107" spans="3:30" ht="12">
      <c r="C107" s="20">
        <f t="shared" si="15"/>
        <v>14</v>
      </c>
      <c r="D107" s="277"/>
      <c r="E107" s="277"/>
      <c r="F107" s="19"/>
      <c r="G107" s="19"/>
      <c r="H107" s="19"/>
      <c r="I107" s="19"/>
      <c r="J107" s="19"/>
      <c r="K107" s="19"/>
      <c r="L107" s="19"/>
      <c r="M107" s="19"/>
      <c r="N107" s="279"/>
      <c r="O107" s="279"/>
      <c r="P107" s="10"/>
      <c r="Q107" s="10"/>
      <c r="R107" s="10"/>
      <c r="S107" s="10"/>
      <c r="T107" s="10"/>
      <c r="U107" s="10"/>
      <c r="V107" s="10"/>
      <c r="W107" s="10"/>
      <c r="X107" s="10"/>
      <c r="Y107" s="10"/>
      <c r="Z107" s="10"/>
      <c r="AA107" s="10"/>
      <c r="AB107" s="10"/>
      <c r="AC107" s="10"/>
      <c r="AD107" s="10"/>
    </row>
    <row r="108" spans="3:30" ht="12">
      <c r="C108" s="20">
        <f t="shared" si="15"/>
        <v>15</v>
      </c>
      <c r="D108" s="277"/>
      <c r="E108" s="277"/>
      <c r="F108" s="19"/>
      <c r="G108" s="19"/>
      <c r="H108" s="19"/>
      <c r="I108" s="19"/>
      <c r="J108" s="19"/>
      <c r="K108" s="19"/>
      <c r="L108" s="19"/>
      <c r="M108" s="19"/>
      <c r="N108" s="279"/>
      <c r="O108" s="279"/>
      <c r="P108" s="10"/>
      <c r="Q108" s="10"/>
      <c r="R108" s="10"/>
      <c r="S108" s="10"/>
      <c r="T108" s="10"/>
      <c r="U108" s="10"/>
      <c r="V108" s="10"/>
      <c r="W108" s="10"/>
      <c r="X108" s="10"/>
      <c r="Y108" s="10"/>
      <c r="Z108" s="10"/>
      <c r="AA108" s="10"/>
      <c r="AB108" s="10"/>
      <c r="AC108" s="10"/>
      <c r="AD108" s="10"/>
    </row>
    <row r="109" spans="3:30" ht="12">
      <c r="C109" s="20">
        <f t="shared" si="15"/>
        <v>16</v>
      </c>
      <c r="D109" s="277"/>
      <c r="E109" s="277"/>
      <c r="F109" s="19"/>
      <c r="G109" s="19"/>
      <c r="H109" s="19"/>
      <c r="I109" s="19"/>
      <c r="J109" s="19"/>
      <c r="K109" s="19"/>
      <c r="L109" s="19"/>
      <c r="M109" s="19"/>
      <c r="N109" s="279"/>
      <c r="O109" s="279"/>
      <c r="P109" s="10"/>
      <c r="Q109" s="10"/>
      <c r="R109" s="10"/>
      <c r="S109" s="10"/>
      <c r="T109" s="10"/>
      <c r="U109" s="10"/>
      <c r="V109" s="10"/>
      <c r="W109" s="10"/>
      <c r="X109" s="10"/>
      <c r="Y109" s="10"/>
      <c r="Z109" s="10"/>
      <c r="AA109" s="10"/>
      <c r="AB109" s="10"/>
      <c r="AC109" s="10"/>
      <c r="AD109" s="10"/>
    </row>
    <row r="110" spans="3:30" ht="12">
      <c r="C110" s="20">
        <f t="shared" si="15"/>
        <v>17</v>
      </c>
      <c r="D110" s="277"/>
      <c r="E110" s="277"/>
      <c r="F110" s="19"/>
      <c r="G110" s="19"/>
      <c r="H110" s="19"/>
      <c r="I110" s="19"/>
      <c r="J110" s="19"/>
      <c r="K110" s="19"/>
      <c r="L110" s="19"/>
      <c r="M110" s="19"/>
      <c r="N110" s="279"/>
      <c r="O110" s="279"/>
      <c r="P110" s="10"/>
      <c r="Q110" s="10"/>
      <c r="R110" s="10"/>
      <c r="S110" s="10"/>
      <c r="T110" s="10"/>
      <c r="U110" s="10"/>
      <c r="V110" s="10"/>
      <c r="W110" s="10"/>
      <c r="X110" s="10"/>
      <c r="Y110" s="10"/>
      <c r="Z110" s="10"/>
      <c r="AA110" s="10"/>
      <c r="AB110" s="10"/>
      <c r="AC110" s="10"/>
      <c r="AD110" s="10"/>
    </row>
    <row r="111" spans="3:30" ht="12">
      <c r="C111" s="20">
        <f t="shared" si="15"/>
        <v>18</v>
      </c>
      <c r="D111" s="277"/>
      <c r="E111" s="277"/>
      <c r="F111" s="19"/>
      <c r="G111" s="19"/>
      <c r="H111" s="19"/>
      <c r="I111" s="19"/>
      <c r="J111" s="19"/>
      <c r="K111" s="19"/>
      <c r="L111" s="19"/>
      <c r="M111" s="19"/>
      <c r="N111" s="279"/>
      <c r="O111" s="279"/>
      <c r="P111" s="10"/>
      <c r="Q111" s="10"/>
      <c r="R111" s="10"/>
      <c r="S111" s="10"/>
      <c r="T111" s="10"/>
      <c r="U111" s="10"/>
      <c r="V111" s="10"/>
      <c r="W111" s="10"/>
      <c r="X111" s="10"/>
      <c r="Y111" s="10"/>
      <c r="Z111" s="10"/>
      <c r="AA111" s="10"/>
      <c r="AB111" s="10"/>
      <c r="AC111" s="10"/>
      <c r="AD111" s="10"/>
    </row>
    <row r="112" spans="3:30" ht="12">
      <c r="C112" s="20">
        <f t="shared" si="15"/>
        <v>19</v>
      </c>
      <c r="D112" s="277"/>
      <c r="E112" s="277"/>
      <c r="F112" s="19"/>
      <c r="G112" s="19"/>
      <c r="H112" s="19"/>
      <c r="I112" s="19"/>
      <c r="J112" s="19"/>
      <c r="K112" s="19"/>
      <c r="L112" s="19"/>
      <c r="M112" s="19"/>
      <c r="N112" s="279"/>
      <c r="O112" s="279"/>
      <c r="P112" s="10"/>
      <c r="Q112" s="10"/>
      <c r="R112" s="10"/>
      <c r="S112" s="10"/>
      <c r="T112" s="10"/>
      <c r="U112" s="10"/>
      <c r="V112" s="10"/>
      <c r="W112" s="10"/>
      <c r="X112" s="10"/>
      <c r="Y112" s="10"/>
      <c r="Z112" s="10"/>
      <c r="AA112" s="10"/>
      <c r="AB112" s="10"/>
      <c r="AC112" s="10"/>
      <c r="AD112" s="10"/>
    </row>
    <row r="113" spans="3:30" ht="12">
      <c r="C113" s="20">
        <f t="shared" si="15"/>
        <v>20</v>
      </c>
      <c r="D113" s="277"/>
      <c r="E113" s="277"/>
      <c r="F113" s="19"/>
      <c r="G113" s="19"/>
      <c r="H113" s="19"/>
      <c r="I113" s="19"/>
      <c r="J113" s="19"/>
      <c r="K113" s="19"/>
      <c r="L113" s="19"/>
      <c r="M113" s="19"/>
      <c r="N113" s="279"/>
      <c r="O113" s="279"/>
      <c r="P113" s="10"/>
      <c r="Q113" s="10"/>
      <c r="R113" s="10"/>
      <c r="S113" s="10"/>
      <c r="T113" s="10"/>
      <c r="U113" s="10"/>
      <c r="V113" s="10"/>
      <c r="W113" s="10"/>
      <c r="X113" s="10"/>
      <c r="Y113" s="10"/>
      <c r="Z113" s="10"/>
      <c r="AA113" s="10"/>
      <c r="AB113" s="10"/>
      <c r="AC113" s="10"/>
      <c r="AD113" s="10"/>
    </row>
    <row r="114" spans="4:30" ht="12">
      <c r="D114" s="277"/>
      <c r="E114" s="277"/>
      <c r="F114" s="19"/>
      <c r="G114" s="19"/>
      <c r="H114" s="19"/>
      <c r="I114" s="19"/>
      <c r="J114" s="19"/>
      <c r="K114" s="19"/>
      <c r="L114" s="19"/>
      <c r="M114" s="19"/>
      <c r="N114" s="279"/>
      <c r="O114" s="279"/>
      <c r="P114" s="10"/>
      <c r="Q114" s="10"/>
      <c r="R114" s="10"/>
      <c r="S114" s="10"/>
      <c r="T114" s="10"/>
      <c r="U114" s="10"/>
      <c r="V114" s="10"/>
      <c r="W114" s="10"/>
      <c r="X114" s="10"/>
      <c r="Y114" s="10"/>
      <c r="Z114" s="10"/>
      <c r="AA114" s="10"/>
      <c r="AB114" s="10"/>
      <c r="AC114" s="10"/>
      <c r="AD114" s="10"/>
    </row>
    <row r="115" spans="4:30" ht="12">
      <c r="D115" s="277"/>
      <c r="E115" s="277"/>
      <c r="F115" s="19"/>
      <c r="G115" s="19"/>
      <c r="H115" s="19"/>
      <c r="I115" s="19"/>
      <c r="J115" s="19"/>
      <c r="K115" s="19"/>
      <c r="L115" s="19"/>
      <c r="M115" s="19"/>
      <c r="N115" s="279"/>
      <c r="O115" s="279"/>
      <c r="P115" s="10"/>
      <c r="Q115" s="10"/>
      <c r="R115" s="10"/>
      <c r="S115" s="10"/>
      <c r="T115" s="10"/>
      <c r="U115" s="10"/>
      <c r="V115" s="10"/>
      <c r="W115" s="10"/>
      <c r="X115" s="10"/>
      <c r="Y115" s="10"/>
      <c r="Z115" s="10"/>
      <c r="AA115" s="10"/>
      <c r="AB115" s="10"/>
      <c r="AC115" s="10"/>
      <c r="AD115" s="10"/>
    </row>
    <row r="116" spans="4:30" ht="12">
      <c r="D116" s="277"/>
      <c r="E116" s="277"/>
      <c r="F116" s="19"/>
      <c r="G116" s="19"/>
      <c r="H116" s="19"/>
      <c r="I116" s="19"/>
      <c r="J116" s="19"/>
      <c r="K116" s="19"/>
      <c r="L116" s="19"/>
      <c r="M116" s="19"/>
      <c r="N116" s="279"/>
      <c r="O116" s="279"/>
      <c r="P116" s="10"/>
      <c r="Q116" s="10"/>
      <c r="R116" s="10"/>
      <c r="S116" s="10"/>
      <c r="T116" s="10"/>
      <c r="U116" s="10"/>
      <c r="V116" s="10"/>
      <c r="W116" s="10"/>
      <c r="X116" s="10"/>
      <c r="Y116" s="10"/>
      <c r="Z116" s="10"/>
      <c r="AA116" s="10"/>
      <c r="AB116" s="10"/>
      <c r="AC116" s="10"/>
      <c r="AD116" s="10"/>
    </row>
    <row r="117" spans="4:30" ht="12">
      <c r="D117" s="277"/>
      <c r="E117" s="277"/>
      <c r="F117" s="19"/>
      <c r="G117" s="19"/>
      <c r="H117" s="19"/>
      <c r="I117" s="19"/>
      <c r="J117" s="19"/>
      <c r="K117" s="19"/>
      <c r="L117" s="19"/>
      <c r="M117" s="19"/>
      <c r="N117" s="279"/>
      <c r="O117" s="279"/>
      <c r="P117" s="10"/>
      <c r="Q117" s="10"/>
      <c r="R117" s="10"/>
      <c r="S117" s="10"/>
      <c r="T117" s="10"/>
      <c r="U117" s="10"/>
      <c r="V117" s="10"/>
      <c r="W117" s="10"/>
      <c r="X117" s="10"/>
      <c r="Y117" s="10"/>
      <c r="Z117" s="10"/>
      <c r="AA117" s="10"/>
      <c r="AB117" s="10"/>
      <c r="AC117" s="10"/>
      <c r="AD117" s="10"/>
    </row>
    <row r="118" spans="4:30" ht="12">
      <c r="D118" s="277"/>
      <c r="E118" s="277"/>
      <c r="F118" s="19"/>
      <c r="G118" s="19"/>
      <c r="H118" s="19"/>
      <c r="I118" s="19"/>
      <c r="J118" s="19"/>
      <c r="K118" s="19"/>
      <c r="L118" s="19"/>
      <c r="M118" s="19"/>
      <c r="N118" s="279"/>
      <c r="O118" s="279"/>
      <c r="P118" s="10"/>
      <c r="Q118" s="10"/>
      <c r="R118" s="10"/>
      <c r="S118" s="10"/>
      <c r="T118" s="10"/>
      <c r="U118" s="10"/>
      <c r="V118" s="10"/>
      <c r="W118" s="10"/>
      <c r="X118" s="10"/>
      <c r="Y118" s="10"/>
      <c r="Z118" s="10"/>
      <c r="AA118" s="10"/>
      <c r="AB118" s="10"/>
      <c r="AC118" s="10"/>
      <c r="AD118" s="10"/>
    </row>
    <row r="119" spans="4:30" ht="12">
      <c r="D119" s="277"/>
      <c r="E119" s="277"/>
      <c r="F119" s="19"/>
      <c r="G119" s="19"/>
      <c r="H119" s="19"/>
      <c r="I119" s="19"/>
      <c r="J119" s="19"/>
      <c r="K119" s="19"/>
      <c r="L119" s="19"/>
      <c r="M119" s="19"/>
      <c r="N119" s="279"/>
      <c r="O119" s="279"/>
      <c r="P119" s="10"/>
      <c r="Q119" s="10"/>
      <c r="R119" s="10"/>
      <c r="S119" s="10"/>
      <c r="T119" s="10"/>
      <c r="U119" s="10"/>
      <c r="V119" s="10"/>
      <c r="W119" s="10"/>
      <c r="X119" s="10"/>
      <c r="Y119" s="10"/>
      <c r="Z119" s="10"/>
      <c r="AA119" s="10"/>
      <c r="AB119" s="10"/>
      <c r="AC119" s="10"/>
      <c r="AD119" s="10"/>
    </row>
    <row r="120" spans="4:30" ht="12">
      <c r="D120" s="277"/>
      <c r="E120" s="277"/>
      <c r="F120" s="19"/>
      <c r="G120" s="19"/>
      <c r="H120" s="19"/>
      <c r="I120" s="19"/>
      <c r="J120" s="19"/>
      <c r="K120" s="19"/>
      <c r="L120" s="19"/>
      <c r="M120" s="19"/>
      <c r="N120" s="279"/>
      <c r="O120" s="279"/>
      <c r="P120" s="10"/>
      <c r="Q120" s="10"/>
      <c r="R120" s="10"/>
      <c r="S120" s="10"/>
      <c r="T120" s="10"/>
      <c r="U120" s="10"/>
      <c r="V120" s="10"/>
      <c r="W120" s="10"/>
      <c r="X120" s="10"/>
      <c r="Y120" s="10"/>
      <c r="Z120" s="10"/>
      <c r="AA120" s="10"/>
      <c r="AB120" s="10"/>
      <c r="AC120" s="10"/>
      <c r="AD120" s="10"/>
    </row>
    <row r="121" spans="4:30" ht="12">
      <c r="D121" s="277"/>
      <c r="E121" s="277"/>
      <c r="F121" s="19"/>
      <c r="G121" s="19"/>
      <c r="H121" s="19"/>
      <c r="I121" s="19"/>
      <c r="J121" s="19"/>
      <c r="K121" s="19"/>
      <c r="L121" s="19"/>
      <c r="M121" s="19"/>
      <c r="N121" s="279"/>
      <c r="O121" s="279"/>
      <c r="P121" s="10"/>
      <c r="Q121" s="10"/>
      <c r="R121" s="10"/>
      <c r="S121" s="10"/>
      <c r="T121" s="10"/>
      <c r="U121" s="10"/>
      <c r="V121" s="10"/>
      <c r="W121" s="10"/>
      <c r="X121" s="10"/>
      <c r="Y121" s="10"/>
      <c r="Z121" s="10"/>
      <c r="AA121" s="10"/>
      <c r="AB121" s="10"/>
      <c r="AC121" s="10"/>
      <c r="AD121" s="10"/>
    </row>
    <row r="122" spans="4:30" ht="12">
      <c r="D122" s="277"/>
      <c r="E122" s="277"/>
      <c r="F122" s="19"/>
      <c r="G122" s="19"/>
      <c r="H122" s="19"/>
      <c r="I122" s="19"/>
      <c r="J122" s="19"/>
      <c r="K122" s="19"/>
      <c r="L122" s="19"/>
      <c r="M122" s="19"/>
      <c r="N122" s="279"/>
      <c r="O122" s="279"/>
      <c r="P122" s="10"/>
      <c r="Q122" s="10"/>
      <c r="R122" s="10"/>
      <c r="S122" s="10"/>
      <c r="T122" s="10"/>
      <c r="U122" s="10"/>
      <c r="V122" s="10"/>
      <c r="W122" s="10"/>
      <c r="X122" s="10"/>
      <c r="Y122" s="10"/>
      <c r="Z122" s="10"/>
      <c r="AA122" s="10"/>
      <c r="AB122" s="10"/>
      <c r="AC122" s="10"/>
      <c r="AD122" s="10"/>
    </row>
    <row r="123" spans="4:30" ht="12">
      <c r="D123" s="277"/>
      <c r="E123" s="277"/>
      <c r="F123" s="19"/>
      <c r="G123" s="19"/>
      <c r="H123" s="19"/>
      <c r="I123" s="19"/>
      <c r="J123" s="19"/>
      <c r="K123" s="19"/>
      <c r="L123" s="19"/>
      <c r="M123" s="19"/>
      <c r="N123" s="10"/>
      <c r="O123" s="10"/>
      <c r="P123" s="10"/>
      <c r="Q123" s="10"/>
      <c r="R123" s="10"/>
      <c r="S123" s="10"/>
      <c r="T123" s="10"/>
      <c r="U123" s="10"/>
      <c r="V123" s="10"/>
      <c r="W123" s="10"/>
      <c r="X123" s="10"/>
      <c r="Y123" s="10"/>
      <c r="Z123" s="10"/>
      <c r="AA123" s="10"/>
      <c r="AB123" s="10"/>
      <c r="AC123" s="10"/>
      <c r="AD123" s="10"/>
    </row>
    <row r="124" spans="4:30" ht="12">
      <c r="D124" s="277"/>
      <c r="E124" s="277"/>
      <c r="F124" s="19"/>
      <c r="G124" s="19"/>
      <c r="H124" s="19"/>
      <c r="I124" s="19"/>
      <c r="J124" s="19"/>
      <c r="K124" s="19"/>
      <c r="L124" s="19"/>
      <c r="M124" s="19"/>
      <c r="N124" s="10"/>
      <c r="O124" s="10"/>
      <c r="P124" s="10"/>
      <c r="Q124" s="10"/>
      <c r="R124" s="10"/>
      <c r="S124" s="10"/>
      <c r="T124" s="10"/>
      <c r="U124" s="10"/>
      <c r="V124" s="10"/>
      <c r="W124" s="10"/>
      <c r="X124" s="10"/>
      <c r="Y124" s="10"/>
      <c r="Z124" s="10"/>
      <c r="AA124" s="10"/>
      <c r="AB124" s="10"/>
      <c r="AC124" s="10"/>
      <c r="AD124" s="10"/>
    </row>
    <row r="125" spans="4:30" ht="12">
      <c r="D125" s="277"/>
      <c r="E125" s="277"/>
      <c r="F125" s="19"/>
      <c r="G125" s="19"/>
      <c r="H125" s="19"/>
      <c r="I125" s="19"/>
      <c r="J125" s="19"/>
      <c r="K125" s="19"/>
      <c r="L125" s="19"/>
      <c r="M125" s="19"/>
      <c r="N125" s="10"/>
      <c r="O125" s="10"/>
      <c r="P125" s="10"/>
      <c r="Q125" s="10"/>
      <c r="R125" s="10"/>
      <c r="S125" s="10"/>
      <c r="T125" s="10"/>
      <c r="U125" s="10"/>
      <c r="V125" s="10"/>
      <c r="W125" s="10"/>
      <c r="X125" s="10"/>
      <c r="Y125" s="10"/>
      <c r="Z125" s="10"/>
      <c r="AA125" s="10"/>
      <c r="AB125" s="10"/>
      <c r="AC125" s="10"/>
      <c r="AD125" s="10"/>
    </row>
    <row r="126" spans="4:30" ht="12">
      <c r="D126" s="277"/>
      <c r="E126" s="277"/>
      <c r="F126" s="19"/>
      <c r="G126" s="19"/>
      <c r="H126" s="19"/>
      <c r="I126" s="19"/>
      <c r="J126" s="19"/>
      <c r="K126" s="19"/>
      <c r="L126" s="19"/>
      <c r="M126" s="19"/>
      <c r="N126" s="10"/>
      <c r="O126" s="10"/>
      <c r="P126" s="10"/>
      <c r="Q126" s="10"/>
      <c r="R126" s="10"/>
      <c r="S126" s="10"/>
      <c r="T126" s="10"/>
      <c r="U126" s="10"/>
      <c r="V126" s="10"/>
      <c r="W126" s="10"/>
      <c r="X126" s="10"/>
      <c r="Y126" s="10"/>
      <c r="Z126" s="10"/>
      <c r="AA126" s="10"/>
      <c r="AB126" s="10"/>
      <c r="AC126" s="10"/>
      <c r="AD126" s="10"/>
    </row>
    <row r="127" spans="6:30" ht="12">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row>
    <row r="128" spans="6:30" ht="12">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row>
    <row r="129" spans="6:30" ht="12">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row>
    <row r="130" spans="6:30" ht="12">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row>
    <row r="131" spans="6:30" ht="12">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row>
    <row r="132" spans="6:30" ht="12">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row>
    <row r="133" spans="6:30" ht="12">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row>
    <row r="134" spans="6:30" ht="12">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row>
    <row r="135" spans="6:30" ht="12">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row>
    <row r="136" spans="6:30" ht="12">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row>
    <row r="137" spans="6:30" ht="12">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row>
    <row r="138" spans="6:30" ht="12">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row>
    <row r="139" spans="6:30" ht="12">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row>
    <row r="140" spans="6:30" ht="12">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row>
    <row r="141" spans="6:30" ht="12">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6:30" ht="12">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row>
    <row r="143" spans="6:30" ht="12">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row r="144" spans="6:30" ht="12">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row>
    <row r="145" spans="6:30" ht="12">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6:30" ht="12">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row>
    <row r="147" spans="6:30" ht="12">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row>
    <row r="148" spans="6:30" ht="12">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row>
    <row r="149" spans="6:30" ht="12">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row>
    <row r="150" spans="6:30" ht="12">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row>
    <row r="151" spans="6:30" ht="12">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row>
    <row r="152" spans="6:30" ht="12">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row>
    <row r="153" spans="6:30" ht="12">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row>
    <row r="154" spans="6:30" ht="12">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row>
    <row r="155" spans="6:30" ht="12">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row>
    <row r="156" spans="6:30" ht="12">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row>
    <row r="157" spans="6:30" ht="12">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row>
    <row r="158" spans="6:30" ht="12">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row>
    <row r="159" spans="6:30" ht="12">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row>
    <row r="160" spans="6:30" ht="12">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row>
    <row r="161" spans="6:30" ht="12">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row>
    <row r="162" spans="6:30" ht="12">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row>
    <row r="163" spans="6:30" ht="12">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row>
    <row r="164" spans="6:30" ht="12">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row>
    <row r="165" spans="6:30" ht="12">
      <c r="F165" s="10"/>
      <c r="AB165" s="10"/>
      <c r="AC165" s="10"/>
      <c r="AD165" s="10"/>
    </row>
    <row r="166" spans="6:30" ht="12">
      <c r="F166" s="10"/>
      <c r="AB166" s="10"/>
      <c r="AC166" s="10"/>
      <c r="AD166" s="10"/>
    </row>
    <row r="167" spans="6:30" ht="12">
      <c r="F167" s="10"/>
      <c r="AB167" s="10"/>
      <c r="AC167" s="10"/>
      <c r="AD167" s="10"/>
    </row>
    <row r="168" spans="6:30" ht="12">
      <c r="F168" s="10"/>
      <c r="AB168" s="10"/>
      <c r="AC168" s="10"/>
      <c r="AD168" s="10"/>
    </row>
    <row r="169" spans="6:30" ht="12">
      <c r="F169" s="10"/>
      <c r="AB169" s="10"/>
      <c r="AC169" s="10"/>
      <c r="AD169" s="10"/>
    </row>
  </sheetData>
  <sheetProtection/>
  <mergeCells count="33">
    <mergeCell ref="B17:B18"/>
    <mergeCell ref="AA38:AA39"/>
    <mergeCell ref="AA17:AA18"/>
    <mergeCell ref="G17:Z17"/>
    <mergeCell ref="O13:X13"/>
    <mergeCell ref="O14:X14"/>
    <mergeCell ref="G14:H14"/>
    <mergeCell ref="G13:H13"/>
    <mergeCell ref="B43:F43"/>
    <mergeCell ref="B44:F44"/>
    <mergeCell ref="Y6:Y7"/>
    <mergeCell ref="O8:X8"/>
    <mergeCell ref="B41:F41"/>
    <mergeCell ref="B40:F40"/>
    <mergeCell ref="B42:F42"/>
    <mergeCell ref="O9:X9"/>
    <mergeCell ref="C6:E6"/>
    <mergeCell ref="C7:E7"/>
    <mergeCell ref="AC17:AC18"/>
    <mergeCell ref="AC38:AC39"/>
    <mergeCell ref="AB38:AB39"/>
    <mergeCell ref="G38:Z38"/>
    <mergeCell ref="AB17:AB18"/>
    <mergeCell ref="G26:Z26"/>
    <mergeCell ref="O4:Z4"/>
    <mergeCell ref="C17:E17"/>
    <mergeCell ref="C9:E9"/>
    <mergeCell ref="C10:E10"/>
    <mergeCell ref="C11:E11"/>
    <mergeCell ref="F17:F18"/>
    <mergeCell ref="O11:X11"/>
    <mergeCell ref="C8:E8"/>
    <mergeCell ref="O12:X12"/>
  </mergeCells>
  <conditionalFormatting sqref="D19:D25 D28:D31">
    <cfRule type="expression" priority="1" dxfId="0" stopIfTrue="1">
      <formula>IF(ISBLANK(D19),FALSE,IF(C19&gt;D19,TRUE,FALSE))</formula>
    </cfRule>
  </conditionalFormatting>
  <conditionalFormatting sqref="C19:C25 C28:C31">
    <cfRule type="expression" priority="2" dxfId="0" stopIfTrue="1">
      <formula>IF(ISBLANK(D19),FALSE,IF(C19&gt;D19,TRUE,FALSE))</formula>
    </cfRule>
    <cfRule type="expression" priority="3" dxfId="0" stopIfTrue="1">
      <formula>IF(ISBLANK(B19),FALSE,IF(ISBLANK(C19),TRUE,FALSE))</formula>
    </cfRule>
  </conditionalFormatting>
  <conditionalFormatting sqref="B42:Z42">
    <cfRule type="expression" priority="4" dxfId="5" stopIfTrue="1">
      <formula>$C$8="no"</formula>
    </cfRule>
  </conditionalFormatting>
  <conditionalFormatting sqref="B44:Z44">
    <cfRule type="expression" priority="5" dxfId="5" stopIfTrue="1">
      <formula>$C$8="yes"</formula>
    </cfRule>
  </conditionalFormatting>
  <conditionalFormatting sqref="F28:F31 F19:F25">
    <cfRule type="cellIs" priority="6" dxfId="0" operator="lessThan" stopIfTrue="1">
      <formula>0</formula>
    </cfRule>
  </conditionalFormatting>
  <dataValidations count="4">
    <dataValidation type="list" allowBlank="1" showInputMessage="1" showErrorMessage="1" sqref="C28:C31">
      <formula1>$C$94:$C$113</formula1>
    </dataValidation>
    <dataValidation type="list" allowBlank="1" showInputMessage="1" showErrorMessage="1" sqref="D28:E31 D19:E25">
      <formula1>$C$93:$C$113</formula1>
    </dataValidation>
    <dataValidation type="list" showInputMessage="1" showErrorMessage="1" sqref="C19:C25">
      <formula1>$C$94:$C$113</formula1>
    </dataValidation>
    <dataValidation type="list" allowBlank="1" showInputMessage="1" showErrorMessage="1" sqref="C8">
      <formula1>YesNo</formula1>
    </dataValidation>
  </dataValidations>
  <printOptions/>
  <pageMargins left="0.5511811023622047" right="0.31496062992125984" top="0.984251968503937" bottom="0.984251968503937" header="0.5118110236220472" footer="0.5118110236220472"/>
  <pageSetup fitToHeight="1" fitToWidth="1" horizontalDpi="600" verticalDpi="600" orientation="landscape" paperSize="9" scale="31" r:id="rId3"/>
  <legacyDrawing r:id="rId2"/>
</worksheet>
</file>

<file path=xl/worksheets/sheet8.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38" sqref="H3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Ellis Catherine</dc:creator>
  <cp:keywords/>
  <dc:description/>
  <cp:lastModifiedBy>Amerie Brooks</cp:lastModifiedBy>
  <cp:lastPrinted>2009-07-15T23:27:52Z</cp:lastPrinted>
  <dcterms:created xsi:type="dcterms:W3CDTF">2006-03-27T02:38:16Z</dcterms:created>
  <dcterms:modified xsi:type="dcterms:W3CDTF">2022-07-22T00:42:24Z</dcterms:modified>
  <cp:category/>
  <cp:version/>
  <cp:contentType/>
  <cp:contentStatus/>
</cp:coreProperties>
</file>