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omments1.xml" ContentType="application/vnd.openxmlformats-officedocument.spreadsheetml.comments+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9.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0.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newczfp02.dec.int\Group\COASTFLOODHUNT\FloodTeam\FDM2021\Guides\Management Measures\Damages Tool\"/>
    </mc:Choice>
  </mc:AlternateContent>
  <xr:revisionPtr revIDLastSave="0" documentId="8_{B494F470-C625-4AA5-9FF0-D24C8AE98DCE}" xr6:coauthVersionLast="45" xr6:coauthVersionMax="45" xr10:uidLastSave="{00000000-0000-0000-0000-000000000000}"/>
  <workbookProtection workbookAlgorithmName="SHA-512" workbookHashValue="f5oCLIoaxEYHSI4ftW9Joz3T2LidDsq01R+KEBt9POw6Sk/MqGnFdaJnadEl63wxb0SA4f0n888/yQCaLrjW6w==" workbookSaltValue="dHceeG3qqsistFTihvfboQ==" workbookSpinCount="100000" lockStructure="1"/>
  <bookViews>
    <workbookView xWindow="22932" yWindow="-108" windowWidth="23256" windowHeight="14016" tabRatio="752" xr2:uid="{CEC6BE5F-0DBC-4B09-AE0C-E280FD6CF77F}"/>
  </bookViews>
  <sheets>
    <sheet name="Info" sheetId="15" r:id="rId1"/>
    <sheet name="Project Details" sheetId="3" r:id="rId2"/>
    <sheet name="Inflation" sheetId="4" r:id="rId3"/>
    <sheet name="NSW" sheetId="10" r:id="rId4"/>
    <sheet name="Inputs" sheetId="2" r:id="rId5"/>
    <sheet name="Relocation" sheetId="16" r:id="rId6"/>
    <sheet name="Damage Curves" sheetId="20" r:id="rId7"/>
    <sheet name="Properties" sheetId="13" r:id="rId8"/>
    <sheet name="AAD Calculation" sheetId="1" r:id="rId9"/>
    <sheet name="Summary Output" sheetId="21" r:id="rId10"/>
    <sheet name="Damage Curves - Total" sheetId="19" state="hidden" r:id="rId11"/>
    <sheet name="Damage Curves - Res" sheetId="6" state="hidden" r:id="rId12"/>
    <sheet name="Damage Curves - Com" sheetId="8" state="hidden" r:id="rId13"/>
  </sheets>
  <definedNames>
    <definedName name="Actual_to_Potential">Inputs!$C$8</definedName>
    <definedName name="AWE">1+Inflation!$I$7</definedName>
    <definedName name="Cleanup">Inputs!$C$47</definedName>
    <definedName name="CPI">1+Inflation!$V$7</definedName>
    <definedName name="Downscale">Inputs!$C$11</definedName>
    <definedName name="External">Inputs!$C$43</definedName>
    <definedName name="External_Threshold">Inputs!$C$42</definedName>
    <definedName name="Fatality">Inputs!$C$53</definedName>
    <definedName name="IndirectCom">Inputs!$C$48</definedName>
    <definedName name="Infrastructure">Inputs!$C$10</definedName>
    <definedName name="Injury">Inputs!$C$54</definedName>
    <definedName name="_xlnm.Print_Area" localSheetId="0">Info!$A$1:$E$37</definedName>
    <definedName name="_xlnm.Print_Area" localSheetId="1">'Project Details'!$A$1:$J$53</definedName>
    <definedName name="_xlnm.Print_Titles" localSheetId="12">'Damage Curves - Com'!$31:$31</definedName>
    <definedName name="_xlnm.Print_Titles" localSheetId="11">'Damage Curves - Res'!$30:$30</definedName>
    <definedName name="_xlnm.Print_Titles" localSheetId="5">Relocation!$30:$30</definedName>
    <definedName name="SocialWTP">Inputs!$D$99:$E$109</definedName>
    <definedName name="Uplift">Inputs!$C$9</definedName>
    <definedName name="Warning_Time">Inputs!$C$65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M137" i="13" l="1"/>
  <c r="C9" i="2"/>
  <c r="DN19" i="13"/>
  <c r="DE19" i="13"/>
  <c r="K19" i="13"/>
  <c r="K20" i="13"/>
  <c r="DN21" i="13" l="1"/>
  <c r="W17" i="21"/>
  <c r="W33" i="21" s="1"/>
  <c r="W49" i="21" s="1"/>
  <c r="W18" i="21"/>
  <c r="W34" i="21" s="1"/>
  <c r="W50" i="21" s="1"/>
  <c r="W19" i="21"/>
  <c r="W35" i="21" s="1"/>
  <c r="W51" i="21" s="1"/>
  <c r="W16" i="21"/>
  <c r="W32" i="21" s="1"/>
  <c r="W48" i="21" s="1"/>
  <c r="W15" i="21"/>
  <c r="W31" i="21" s="1"/>
  <c r="W47" i="21" s="1"/>
  <c r="W14" i="21"/>
  <c r="W30" i="21" s="1"/>
  <c r="W46" i="21" s="1"/>
  <c r="W13" i="21"/>
  <c r="W29" i="21" s="1"/>
  <c r="W45" i="21" s="1"/>
  <c r="W12" i="21"/>
  <c r="W28" i="21" s="1"/>
  <c r="W44" i="21" s="1"/>
  <c r="W11" i="21"/>
  <c r="W27" i="21" s="1"/>
  <c r="W43" i="21" s="1"/>
  <c r="W10" i="21"/>
  <c r="W26" i="21" s="1"/>
  <c r="W42" i="21" s="1"/>
  <c r="K23" i="13" l="1"/>
  <c r="K25" i="13"/>
  <c r="R8" i="4"/>
  <c r="F8" i="4"/>
  <c r="DD19" i="13" l="1"/>
  <c r="HG16" i="13"/>
  <c r="HP18" i="13"/>
  <c r="HO18" i="13"/>
  <c r="HN18" i="13"/>
  <c r="HM18" i="13"/>
  <c r="HL18" i="13"/>
  <c r="HK18" i="13"/>
  <c r="HJ18" i="13"/>
  <c r="HI18" i="13"/>
  <c r="HH18" i="13"/>
  <c r="HG18" i="13"/>
  <c r="C74" i="2" l="1"/>
  <c r="P33" i="1"/>
  <c r="A17" i="13"/>
  <c r="C68" i="2"/>
  <c r="C71" i="2" s="1"/>
  <c r="J18" i="21"/>
  <c r="B18" i="21"/>
  <c r="J17" i="21"/>
  <c r="B17" i="21"/>
  <c r="J16" i="21"/>
  <c r="B16" i="21"/>
  <c r="J15" i="21"/>
  <c r="B15" i="21"/>
  <c r="J14" i="21"/>
  <c r="B14" i="21"/>
  <c r="J13" i="21"/>
  <c r="B13" i="21"/>
  <c r="J12" i="21"/>
  <c r="B12" i="21"/>
  <c r="J11" i="21"/>
  <c r="B11" i="21"/>
  <c r="J10" i="21"/>
  <c r="B10" i="21"/>
  <c r="O8" i="21"/>
  <c r="N8" i="21"/>
  <c r="M8" i="21"/>
  <c r="L8" i="21"/>
  <c r="R7" i="4" l="1"/>
  <c r="T8" i="4" a="1"/>
  <c r="T8" i="4" s="1"/>
  <c r="G8" i="4" a="1"/>
  <c r="G8" i="4" s="1"/>
  <c r="C19" i="2" l="1"/>
  <c r="O5" i="1" s="1"/>
  <c r="C18" i="2"/>
  <c r="M5" i="1" s="1"/>
  <c r="DD20" i="13"/>
  <c r="DE20" i="13"/>
  <c r="DF20" i="13"/>
  <c r="DG20" i="13"/>
  <c r="DH20" i="13"/>
  <c r="DI20" i="13"/>
  <c r="DJ20" i="13"/>
  <c r="DK20" i="13"/>
  <c r="DL20" i="13"/>
  <c r="DM20" i="13"/>
  <c r="DN20" i="13"/>
  <c r="DN9" i="13" s="1"/>
  <c r="CL20" i="13" s="1"/>
  <c r="DO20" i="13"/>
  <c r="DP20" i="13"/>
  <c r="DQ20" i="13"/>
  <c r="DR20" i="13"/>
  <c r="DS20" i="13"/>
  <c r="DT20" i="13"/>
  <c r="DU20" i="13"/>
  <c r="DV20" i="13"/>
  <c r="DW20" i="13"/>
  <c r="DD21" i="13"/>
  <c r="DE21" i="13"/>
  <c r="DF21" i="13"/>
  <c r="DG21" i="13"/>
  <c r="DH21" i="13"/>
  <c r="DI21" i="13"/>
  <c r="DJ21" i="13"/>
  <c r="DK21" i="13"/>
  <c r="DL21" i="13"/>
  <c r="DM21" i="13"/>
  <c r="DO21" i="13"/>
  <c r="DP21" i="13"/>
  <c r="DQ21" i="13"/>
  <c r="DR21" i="13"/>
  <c r="DS21" i="13"/>
  <c r="DT21" i="13"/>
  <c r="DU21" i="13"/>
  <c r="DV21" i="13"/>
  <c r="DW21" i="13"/>
  <c r="DD22" i="13"/>
  <c r="DE22" i="13"/>
  <c r="DF22" i="13"/>
  <c r="DG22" i="13"/>
  <c r="DH22" i="13"/>
  <c r="DI22" i="13"/>
  <c r="DJ22" i="13"/>
  <c r="DK22" i="13"/>
  <c r="DL22" i="13"/>
  <c r="DM22" i="13"/>
  <c r="DN22" i="13"/>
  <c r="DO22" i="13"/>
  <c r="DP22" i="13"/>
  <c r="DQ22" i="13"/>
  <c r="DR22" i="13"/>
  <c r="DS22" i="13"/>
  <c r="DT22" i="13"/>
  <c r="DU22" i="13"/>
  <c r="DV22" i="13"/>
  <c r="DW22" i="13"/>
  <c r="DD23" i="13"/>
  <c r="DE23" i="13"/>
  <c r="DF23" i="13"/>
  <c r="DG23" i="13"/>
  <c r="DH23" i="13"/>
  <c r="DI23" i="13"/>
  <c r="DJ23" i="13"/>
  <c r="DK23" i="13"/>
  <c r="DL23" i="13"/>
  <c r="DM23" i="13"/>
  <c r="DN23" i="13"/>
  <c r="DO23" i="13"/>
  <c r="DP23" i="13"/>
  <c r="DQ23" i="13"/>
  <c r="DR23" i="13"/>
  <c r="DS23" i="13"/>
  <c r="DT23" i="13"/>
  <c r="DU23" i="13"/>
  <c r="DV23" i="13"/>
  <c r="DW23" i="13"/>
  <c r="DD24" i="13"/>
  <c r="DE24" i="13"/>
  <c r="DF24" i="13"/>
  <c r="DG24" i="13"/>
  <c r="DH24" i="13"/>
  <c r="DI24" i="13"/>
  <c r="DJ24" i="13"/>
  <c r="DK24" i="13"/>
  <c r="DL24" i="13"/>
  <c r="DM24" i="13"/>
  <c r="DN24" i="13"/>
  <c r="DO24" i="13"/>
  <c r="DP24" i="13"/>
  <c r="DQ24" i="13"/>
  <c r="DR24" i="13"/>
  <c r="DS24" i="13"/>
  <c r="DT24" i="13"/>
  <c r="DU24" i="13"/>
  <c r="DV24" i="13"/>
  <c r="DW24" i="13"/>
  <c r="DD25" i="13"/>
  <c r="DE25" i="13"/>
  <c r="DF25" i="13"/>
  <c r="DG25" i="13"/>
  <c r="DH25" i="13"/>
  <c r="DI25" i="13"/>
  <c r="DJ25" i="13"/>
  <c r="DK25" i="13"/>
  <c r="DL25" i="13"/>
  <c r="DM25" i="13"/>
  <c r="DN25" i="13"/>
  <c r="DO25" i="13"/>
  <c r="DP25" i="13"/>
  <c r="DQ25" i="13"/>
  <c r="DR25" i="13"/>
  <c r="DS25" i="13"/>
  <c r="DT25" i="13"/>
  <c r="DU25" i="13"/>
  <c r="DV25" i="13"/>
  <c r="DW25" i="13"/>
  <c r="DD26" i="13"/>
  <c r="DE26" i="13"/>
  <c r="DF26" i="13"/>
  <c r="DG26" i="13"/>
  <c r="DH26" i="13"/>
  <c r="DI26" i="13"/>
  <c r="DJ26" i="13"/>
  <c r="DK26" i="13"/>
  <c r="DL26" i="13"/>
  <c r="DM26" i="13"/>
  <c r="DN26" i="13"/>
  <c r="DO26" i="13"/>
  <c r="DP26" i="13"/>
  <c r="DQ26" i="13"/>
  <c r="DR26" i="13"/>
  <c r="DS26" i="13"/>
  <c r="DT26" i="13"/>
  <c r="DU26" i="13"/>
  <c r="DV26" i="13"/>
  <c r="DW26" i="13"/>
  <c r="DD27" i="13"/>
  <c r="DE27" i="13"/>
  <c r="DF27" i="13"/>
  <c r="DG27" i="13"/>
  <c r="DH27" i="13"/>
  <c r="DI27" i="13"/>
  <c r="DJ27" i="13"/>
  <c r="DK27" i="13"/>
  <c r="DL27" i="13"/>
  <c r="DM27" i="13"/>
  <c r="DN27" i="13"/>
  <c r="DO27" i="13"/>
  <c r="DP27" i="13"/>
  <c r="DQ27" i="13"/>
  <c r="DR27" i="13"/>
  <c r="DS27" i="13"/>
  <c r="DT27" i="13"/>
  <c r="DU27" i="13"/>
  <c r="DV27" i="13"/>
  <c r="DW27" i="13"/>
  <c r="DD28" i="13"/>
  <c r="DE28" i="13"/>
  <c r="DF28" i="13"/>
  <c r="DG28" i="13"/>
  <c r="DH28" i="13"/>
  <c r="DI28" i="13"/>
  <c r="DJ28" i="13"/>
  <c r="DK28" i="13"/>
  <c r="DL28" i="13"/>
  <c r="DM28" i="13"/>
  <c r="DN28" i="13"/>
  <c r="DO28" i="13"/>
  <c r="DP28" i="13"/>
  <c r="DQ28" i="13"/>
  <c r="DR28" i="13"/>
  <c r="DS28" i="13"/>
  <c r="DT28" i="13"/>
  <c r="DU28" i="13"/>
  <c r="DV28" i="13"/>
  <c r="DW28" i="13"/>
  <c r="DD29" i="13"/>
  <c r="DE29" i="13"/>
  <c r="DF29" i="13"/>
  <c r="DG29" i="13"/>
  <c r="DH29" i="13"/>
  <c r="DI29" i="13"/>
  <c r="DJ29" i="13"/>
  <c r="DK29" i="13"/>
  <c r="DL29" i="13"/>
  <c r="DM29" i="13"/>
  <c r="DN29" i="13"/>
  <c r="DO29" i="13"/>
  <c r="DP29" i="13"/>
  <c r="DQ29" i="13"/>
  <c r="DR29" i="13"/>
  <c r="DS29" i="13"/>
  <c r="DT29" i="13"/>
  <c r="DU29" i="13"/>
  <c r="DV29" i="13"/>
  <c r="DW29" i="13"/>
  <c r="DD30" i="13"/>
  <c r="DE30" i="13"/>
  <c r="DF30" i="13"/>
  <c r="DG30" i="13"/>
  <c r="DH30" i="13"/>
  <c r="DI30" i="13"/>
  <c r="DJ30" i="13"/>
  <c r="DK30" i="13"/>
  <c r="DL30" i="13"/>
  <c r="DM30" i="13"/>
  <c r="DN30" i="13"/>
  <c r="DO30" i="13"/>
  <c r="DP30" i="13"/>
  <c r="DQ30" i="13"/>
  <c r="DR30" i="13"/>
  <c r="DS30" i="13"/>
  <c r="DT30" i="13"/>
  <c r="DU30" i="13"/>
  <c r="DV30" i="13"/>
  <c r="DW30" i="13"/>
  <c r="DD31" i="13"/>
  <c r="DE31" i="13"/>
  <c r="DF31" i="13"/>
  <c r="DG31" i="13"/>
  <c r="DH31" i="13"/>
  <c r="DI31" i="13"/>
  <c r="DJ31" i="13"/>
  <c r="DK31" i="13"/>
  <c r="DL31" i="13"/>
  <c r="DM31" i="13"/>
  <c r="DN31" i="13"/>
  <c r="DO31" i="13"/>
  <c r="DP31" i="13"/>
  <c r="DQ31" i="13"/>
  <c r="DR31" i="13"/>
  <c r="DS31" i="13"/>
  <c r="DT31" i="13"/>
  <c r="DU31" i="13"/>
  <c r="DV31" i="13"/>
  <c r="DW31" i="13"/>
  <c r="DD32" i="13"/>
  <c r="DE32" i="13"/>
  <c r="DF32" i="13"/>
  <c r="DG32" i="13"/>
  <c r="DH32" i="13"/>
  <c r="DI32" i="13"/>
  <c r="DJ32" i="13"/>
  <c r="DK32" i="13"/>
  <c r="DL32" i="13"/>
  <c r="DM32" i="13"/>
  <c r="DN32" i="13"/>
  <c r="DO32" i="13"/>
  <c r="DP32" i="13"/>
  <c r="DQ32" i="13"/>
  <c r="DR32" i="13"/>
  <c r="DS32" i="13"/>
  <c r="DT32" i="13"/>
  <c r="DU32" i="13"/>
  <c r="DV32" i="13"/>
  <c r="DW32" i="13"/>
  <c r="DD33" i="13"/>
  <c r="DE33" i="13"/>
  <c r="DF33" i="13"/>
  <c r="DG33" i="13"/>
  <c r="DH33" i="13"/>
  <c r="DI33" i="13"/>
  <c r="DJ33" i="13"/>
  <c r="DK33" i="13"/>
  <c r="DL33" i="13"/>
  <c r="DM33" i="13"/>
  <c r="DN33" i="13"/>
  <c r="DO33" i="13"/>
  <c r="DP33" i="13"/>
  <c r="DQ33" i="13"/>
  <c r="DR33" i="13"/>
  <c r="DS33" i="13"/>
  <c r="DT33" i="13"/>
  <c r="DU33" i="13"/>
  <c r="DV33" i="13"/>
  <c r="DW33" i="13"/>
  <c r="DD34" i="13"/>
  <c r="DE34" i="13"/>
  <c r="DF34" i="13"/>
  <c r="DG34" i="13"/>
  <c r="DH34" i="13"/>
  <c r="DI34" i="13"/>
  <c r="DJ34" i="13"/>
  <c r="DK34" i="13"/>
  <c r="DL34" i="13"/>
  <c r="DM34" i="13"/>
  <c r="DN34" i="13"/>
  <c r="DO34" i="13"/>
  <c r="DP34" i="13"/>
  <c r="DQ34" i="13"/>
  <c r="DR34" i="13"/>
  <c r="DS34" i="13"/>
  <c r="DT34" i="13"/>
  <c r="DU34" i="13"/>
  <c r="DV34" i="13"/>
  <c r="DW34" i="13"/>
  <c r="DD35" i="13"/>
  <c r="DE35" i="13"/>
  <c r="DF35" i="13"/>
  <c r="DG35" i="13"/>
  <c r="DH35" i="13"/>
  <c r="DI35" i="13"/>
  <c r="DJ35" i="13"/>
  <c r="DK35" i="13"/>
  <c r="DL35" i="13"/>
  <c r="DM35" i="13"/>
  <c r="DN35" i="13"/>
  <c r="DO35" i="13"/>
  <c r="DP35" i="13"/>
  <c r="DQ35" i="13"/>
  <c r="DR35" i="13"/>
  <c r="DS35" i="13"/>
  <c r="DT35" i="13"/>
  <c r="DU35" i="13"/>
  <c r="DV35" i="13"/>
  <c r="DW35" i="13"/>
  <c r="DD36" i="13"/>
  <c r="DE36" i="13"/>
  <c r="DF36" i="13"/>
  <c r="DG36" i="13"/>
  <c r="DH36" i="13"/>
  <c r="DI36" i="13"/>
  <c r="DJ36" i="13"/>
  <c r="DK36" i="13"/>
  <c r="DL36" i="13"/>
  <c r="DM36" i="13"/>
  <c r="DN36" i="13"/>
  <c r="DO36" i="13"/>
  <c r="DP36" i="13"/>
  <c r="DQ36" i="13"/>
  <c r="DR36" i="13"/>
  <c r="DS36" i="13"/>
  <c r="DT36" i="13"/>
  <c r="DU36" i="13"/>
  <c r="DV36" i="13"/>
  <c r="DW36" i="13"/>
  <c r="DD37" i="13"/>
  <c r="DE37" i="13"/>
  <c r="DF37" i="13"/>
  <c r="DG37" i="13"/>
  <c r="DH37" i="13"/>
  <c r="DI37" i="13"/>
  <c r="DJ37" i="13"/>
  <c r="DK37" i="13"/>
  <c r="DL37" i="13"/>
  <c r="DM37" i="13"/>
  <c r="DN37" i="13"/>
  <c r="DO37" i="13"/>
  <c r="DP37" i="13"/>
  <c r="DQ37" i="13"/>
  <c r="DR37" i="13"/>
  <c r="DS37" i="13"/>
  <c r="DT37" i="13"/>
  <c r="DU37" i="13"/>
  <c r="DV37" i="13"/>
  <c r="DW37" i="13"/>
  <c r="DD38" i="13"/>
  <c r="DE38" i="13"/>
  <c r="DF38" i="13"/>
  <c r="DG38" i="13"/>
  <c r="DH38" i="13"/>
  <c r="DI38" i="13"/>
  <c r="DJ38" i="13"/>
  <c r="DK38" i="13"/>
  <c r="DL38" i="13"/>
  <c r="DM38" i="13"/>
  <c r="DN38" i="13"/>
  <c r="DO38" i="13"/>
  <c r="DP38" i="13"/>
  <c r="DQ38" i="13"/>
  <c r="DR38" i="13"/>
  <c r="DS38" i="13"/>
  <c r="DT38" i="13"/>
  <c r="DU38" i="13"/>
  <c r="DV38" i="13"/>
  <c r="DW38" i="13"/>
  <c r="DD39" i="13"/>
  <c r="DE39" i="13"/>
  <c r="DF39" i="13"/>
  <c r="DG39" i="13"/>
  <c r="DH39" i="13"/>
  <c r="DI39" i="13"/>
  <c r="DJ39" i="13"/>
  <c r="DK39" i="13"/>
  <c r="DL39" i="13"/>
  <c r="DM39" i="13"/>
  <c r="DN39" i="13"/>
  <c r="DO39" i="13"/>
  <c r="DP39" i="13"/>
  <c r="DQ39" i="13"/>
  <c r="DR39" i="13"/>
  <c r="DS39" i="13"/>
  <c r="DT39" i="13"/>
  <c r="DU39" i="13"/>
  <c r="DV39" i="13"/>
  <c r="DW39" i="13"/>
  <c r="DD40" i="13"/>
  <c r="DE40" i="13"/>
  <c r="DF40" i="13"/>
  <c r="DG40" i="13"/>
  <c r="DH40" i="13"/>
  <c r="DI40" i="13"/>
  <c r="DJ40" i="13"/>
  <c r="DK40" i="13"/>
  <c r="DL40" i="13"/>
  <c r="DM40" i="13"/>
  <c r="DN40" i="13"/>
  <c r="DO40" i="13"/>
  <c r="DP40" i="13"/>
  <c r="DQ40" i="13"/>
  <c r="DR40" i="13"/>
  <c r="DS40" i="13"/>
  <c r="DT40" i="13"/>
  <c r="DU40" i="13"/>
  <c r="DV40" i="13"/>
  <c r="DW40" i="13"/>
  <c r="DD41" i="13"/>
  <c r="DE41" i="13"/>
  <c r="DF41" i="13"/>
  <c r="DG41" i="13"/>
  <c r="DH41" i="13"/>
  <c r="DI41" i="13"/>
  <c r="DJ41" i="13"/>
  <c r="DK41" i="13"/>
  <c r="DL41" i="13"/>
  <c r="DM41" i="13"/>
  <c r="DN41" i="13"/>
  <c r="DO41" i="13"/>
  <c r="DP41" i="13"/>
  <c r="DQ41" i="13"/>
  <c r="DR41" i="13"/>
  <c r="DS41" i="13"/>
  <c r="DT41" i="13"/>
  <c r="DU41" i="13"/>
  <c r="DV41" i="13"/>
  <c r="DW41" i="13"/>
  <c r="DD42" i="13"/>
  <c r="DE42" i="13"/>
  <c r="DF42" i="13"/>
  <c r="DG42" i="13"/>
  <c r="DH42" i="13"/>
  <c r="DI42" i="13"/>
  <c r="DJ42" i="13"/>
  <c r="DK42" i="13"/>
  <c r="DL42" i="13"/>
  <c r="DM42" i="13"/>
  <c r="DN42" i="13"/>
  <c r="DO42" i="13"/>
  <c r="DP42" i="13"/>
  <c r="DQ42" i="13"/>
  <c r="DR42" i="13"/>
  <c r="DS42" i="13"/>
  <c r="DT42" i="13"/>
  <c r="DU42" i="13"/>
  <c r="DV42" i="13"/>
  <c r="DW42" i="13"/>
  <c r="DD43" i="13"/>
  <c r="DE43" i="13"/>
  <c r="DF43" i="13"/>
  <c r="DG43" i="13"/>
  <c r="DH43" i="13"/>
  <c r="DI43" i="13"/>
  <c r="DJ43" i="13"/>
  <c r="DK43" i="13"/>
  <c r="DL43" i="13"/>
  <c r="DM43" i="13"/>
  <c r="DN43" i="13"/>
  <c r="DO43" i="13"/>
  <c r="DP43" i="13"/>
  <c r="DQ43" i="13"/>
  <c r="DR43" i="13"/>
  <c r="DS43" i="13"/>
  <c r="DT43" i="13"/>
  <c r="DU43" i="13"/>
  <c r="DV43" i="13"/>
  <c r="DW43" i="13"/>
  <c r="DD44" i="13"/>
  <c r="DE44" i="13"/>
  <c r="DF44" i="13"/>
  <c r="DG44" i="13"/>
  <c r="DH44" i="13"/>
  <c r="DI44" i="13"/>
  <c r="DJ44" i="13"/>
  <c r="DK44" i="13"/>
  <c r="DL44" i="13"/>
  <c r="DM44" i="13"/>
  <c r="DN44" i="13"/>
  <c r="DO44" i="13"/>
  <c r="DP44" i="13"/>
  <c r="DQ44" i="13"/>
  <c r="DR44" i="13"/>
  <c r="DS44" i="13"/>
  <c r="DT44" i="13"/>
  <c r="DU44" i="13"/>
  <c r="DV44" i="13"/>
  <c r="DW44" i="13"/>
  <c r="DD45" i="13"/>
  <c r="DE45" i="13"/>
  <c r="DF45" i="13"/>
  <c r="DG45" i="13"/>
  <c r="DH45" i="13"/>
  <c r="DI45" i="13"/>
  <c r="DJ45" i="13"/>
  <c r="DK45" i="13"/>
  <c r="DL45" i="13"/>
  <c r="DM45" i="13"/>
  <c r="DN45" i="13"/>
  <c r="DO45" i="13"/>
  <c r="DP45" i="13"/>
  <c r="DQ45" i="13"/>
  <c r="DR45" i="13"/>
  <c r="DS45" i="13"/>
  <c r="DT45" i="13"/>
  <c r="DU45" i="13"/>
  <c r="DV45" i="13"/>
  <c r="DW45" i="13"/>
  <c r="DD46" i="13"/>
  <c r="DE46" i="13"/>
  <c r="DF46" i="13"/>
  <c r="DG46" i="13"/>
  <c r="DH46" i="13"/>
  <c r="DI46" i="13"/>
  <c r="DJ46" i="13"/>
  <c r="DK46" i="13"/>
  <c r="DL46" i="13"/>
  <c r="DM46" i="13"/>
  <c r="DN46" i="13"/>
  <c r="DO46" i="13"/>
  <c r="DP46" i="13"/>
  <c r="DQ46" i="13"/>
  <c r="DR46" i="13"/>
  <c r="DS46" i="13"/>
  <c r="DT46" i="13"/>
  <c r="DU46" i="13"/>
  <c r="DV46" i="13"/>
  <c r="DW46" i="13"/>
  <c r="DD47" i="13"/>
  <c r="DE47" i="13"/>
  <c r="DF47" i="13"/>
  <c r="DG47" i="13"/>
  <c r="DH47" i="13"/>
  <c r="DI47" i="13"/>
  <c r="DJ47" i="13"/>
  <c r="DK47" i="13"/>
  <c r="DL47" i="13"/>
  <c r="DM47" i="13"/>
  <c r="DN47" i="13"/>
  <c r="DO47" i="13"/>
  <c r="DP47" i="13"/>
  <c r="DQ47" i="13"/>
  <c r="DR47" i="13"/>
  <c r="DS47" i="13"/>
  <c r="DT47" i="13"/>
  <c r="DU47" i="13"/>
  <c r="DV47" i="13"/>
  <c r="DW47" i="13"/>
  <c r="DD48" i="13"/>
  <c r="DE48" i="13"/>
  <c r="DF48" i="13"/>
  <c r="DG48" i="13"/>
  <c r="DH48" i="13"/>
  <c r="DI48" i="13"/>
  <c r="DJ48" i="13"/>
  <c r="DK48" i="13"/>
  <c r="DL48" i="13"/>
  <c r="DM48" i="13"/>
  <c r="DN48" i="13"/>
  <c r="DO48" i="13"/>
  <c r="DP48" i="13"/>
  <c r="DQ48" i="13"/>
  <c r="DR48" i="13"/>
  <c r="DS48" i="13"/>
  <c r="DT48" i="13"/>
  <c r="DU48" i="13"/>
  <c r="DV48" i="13"/>
  <c r="DW48" i="13"/>
  <c r="DD49" i="13"/>
  <c r="DE49" i="13"/>
  <c r="DF49" i="13"/>
  <c r="DG49" i="13"/>
  <c r="DH49" i="13"/>
  <c r="DI49" i="13"/>
  <c r="DJ49" i="13"/>
  <c r="DK49" i="13"/>
  <c r="DL49" i="13"/>
  <c r="DM49" i="13"/>
  <c r="DN49" i="13"/>
  <c r="DO49" i="13"/>
  <c r="DP49" i="13"/>
  <c r="DQ49" i="13"/>
  <c r="DR49" i="13"/>
  <c r="DS49" i="13"/>
  <c r="DT49" i="13"/>
  <c r="DU49" i="13"/>
  <c r="DV49" i="13"/>
  <c r="DW49" i="13"/>
  <c r="DD50" i="13"/>
  <c r="DE50" i="13"/>
  <c r="DF50" i="13"/>
  <c r="DG50" i="13"/>
  <c r="DH50" i="13"/>
  <c r="DI50" i="13"/>
  <c r="DJ50" i="13"/>
  <c r="DK50" i="13"/>
  <c r="DL50" i="13"/>
  <c r="DM50" i="13"/>
  <c r="DN50" i="13"/>
  <c r="DO50" i="13"/>
  <c r="DP50" i="13"/>
  <c r="DQ50" i="13"/>
  <c r="DR50" i="13"/>
  <c r="DS50" i="13"/>
  <c r="DT50" i="13"/>
  <c r="DU50" i="13"/>
  <c r="DV50" i="13"/>
  <c r="DW50" i="13"/>
  <c r="DD51" i="13"/>
  <c r="DE51" i="13"/>
  <c r="DF51" i="13"/>
  <c r="DG51" i="13"/>
  <c r="DH51" i="13"/>
  <c r="DI51" i="13"/>
  <c r="DJ51" i="13"/>
  <c r="DK51" i="13"/>
  <c r="DL51" i="13"/>
  <c r="DM51" i="13"/>
  <c r="DN51" i="13"/>
  <c r="DO51" i="13"/>
  <c r="DP51" i="13"/>
  <c r="DQ51" i="13"/>
  <c r="DR51" i="13"/>
  <c r="DS51" i="13"/>
  <c r="DT51" i="13"/>
  <c r="DU51" i="13"/>
  <c r="DV51" i="13"/>
  <c r="DW51" i="13"/>
  <c r="DD52" i="13"/>
  <c r="DE52" i="13"/>
  <c r="DF52" i="13"/>
  <c r="DG52" i="13"/>
  <c r="DH52" i="13"/>
  <c r="DI52" i="13"/>
  <c r="DJ52" i="13"/>
  <c r="DK52" i="13"/>
  <c r="DL52" i="13"/>
  <c r="DM52" i="13"/>
  <c r="DN52" i="13"/>
  <c r="DO52" i="13"/>
  <c r="DP52" i="13"/>
  <c r="DQ52" i="13"/>
  <c r="DR52" i="13"/>
  <c r="DS52" i="13"/>
  <c r="DT52" i="13"/>
  <c r="DU52" i="13"/>
  <c r="DV52" i="13"/>
  <c r="DW52" i="13"/>
  <c r="DD53" i="13"/>
  <c r="DE53" i="13"/>
  <c r="DF53" i="13"/>
  <c r="DG53" i="13"/>
  <c r="DH53" i="13"/>
  <c r="DI53" i="13"/>
  <c r="DJ53" i="13"/>
  <c r="DK53" i="13"/>
  <c r="DL53" i="13"/>
  <c r="DM53" i="13"/>
  <c r="DN53" i="13"/>
  <c r="DO53" i="13"/>
  <c r="DP53" i="13"/>
  <c r="DQ53" i="13"/>
  <c r="DR53" i="13"/>
  <c r="DS53" i="13"/>
  <c r="DT53" i="13"/>
  <c r="DU53" i="13"/>
  <c r="DV53" i="13"/>
  <c r="DW53" i="13"/>
  <c r="DD54" i="13"/>
  <c r="DE54" i="13"/>
  <c r="DF54" i="13"/>
  <c r="DG54" i="13"/>
  <c r="DH54" i="13"/>
  <c r="DI54" i="13"/>
  <c r="DJ54" i="13"/>
  <c r="DK54" i="13"/>
  <c r="DL54" i="13"/>
  <c r="DM54" i="13"/>
  <c r="DN54" i="13"/>
  <c r="DO54" i="13"/>
  <c r="DP54" i="13"/>
  <c r="DQ54" i="13"/>
  <c r="DR54" i="13"/>
  <c r="DS54" i="13"/>
  <c r="DT54" i="13"/>
  <c r="DU54" i="13"/>
  <c r="DV54" i="13"/>
  <c r="DW54" i="13"/>
  <c r="DD55" i="13"/>
  <c r="DE55" i="13"/>
  <c r="DF55" i="13"/>
  <c r="DG55" i="13"/>
  <c r="DH55" i="13"/>
  <c r="DI55" i="13"/>
  <c r="DJ55" i="13"/>
  <c r="DK55" i="13"/>
  <c r="DL55" i="13"/>
  <c r="DM55" i="13"/>
  <c r="DN55" i="13"/>
  <c r="DO55" i="13"/>
  <c r="DP55" i="13"/>
  <c r="DQ55" i="13"/>
  <c r="DR55" i="13"/>
  <c r="DS55" i="13"/>
  <c r="DT55" i="13"/>
  <c r="DU55" i="13"/>
  <c r="DV55" i="13"/>
  <c r="DW55" i="13"/>
  <c r="DD56" i="13"/>
  <c r="DE56" i="13"/>
  <c r="DF56" i="13"/>
  <c r="DG56" i="13"/>
  <c r="DH56" i="13"/>
  <c r="DI56" i="13"/>
  <c r="DJ56" i="13"/>
  <c r="DK56" i="13"/>
  <c r="DL56" i="13"/>
  <c r="DM56" i="13"/>
  <c r="DN56" i="13"/>
  <c r="DO56" i="13"/>
  <c r="DP56" i="13"/>
  <c r="DQ56" i="13"/>
  <c r="DR56" i="13"/>
  <c r="DS56" i="13"/>
  <c r="DT56" i="13"/>
  <c r="DU56" i="13"/>
  <c r="DV56" i="13"/>
  <c r="DW56" i="13"/>
  <c r="DD57" i="13"/>
  <c r="DE57" i="13"/>
  <c r="DF57" i="13"/>
  <c r="DG57" i="13"/>
  <c r="DH57" i="13"/>
  <c r="DI57" i="13"/>
  <c r="DJ57" i="13"/>
  <c r="DK57" i="13"/>
  <c r="DL57" i="13"/>
  <c r="DM57" i="13"/>
  <c r="DN57" i="13"/>
  <c r="DO57" i="13"/>
  <c r="DP57" i="13"/>
  <c r="DQ57" i="13"/>
  <c r="DR57" i="13"/>
  <c r="DS57" i="13"/>
  <c r="DT57" i="13"/>
  <c r="DU57" i="13"/>
  <c r="DV57" i="13"/>
  <c r="DW57" i="13"/>
  <c r="DD58" i="13"/>
  <c r="DE58" i="13"/>
  <c r="DF58" i="13"/>
  <c r="DG58" i="13"/>
  <c r="DH58" i="13"/>
  <c r="DI58" i="13"/>
  <c r="DJ58" i="13"/>
  <c r="DK58" i="13"/>
  <c r="DL58" i="13"/>
  <c r="DM58" i="13"/>
  <c r="DN58" i="13"/>
  <c r="DO58" i="13"/>
  <c r="DP58" i="13"/>
  <c r="DQ58" i="13"/>
  <c r="DR58" i="13"/>
  <c r="DS58" i="13"/>
  <c r="DT58" i="13"/>
  <c r="DU58" i="13"/>
  <c r="DV58" i="13"/>
  <c r="DW58" i="13"/>
  <c r="DD59" i="13"/>
  <c r="DE59" i="13"/>
  <c r="DF59" i="13"/>
  <c r="DG59" i="13"/>
  <c r="DH59" i="13"/>
  <c r="DI59" i="13"/>
  <c r="DJ59" i="13"/>
  <c r="DK59" i="13"/>
  <c r="DL59" i="13"/>
  <c r="DM59" i="13"/>
  <c r="DN59" i="13"/>
  <c r="DO59" i="13"/>
  <c r="DP59" i="13"/>
  <c r="DQ59" i="13"/>
  <c r="DR59" i="13"/>
  <c r="DS59" i="13"/>
  <c r="DT59" i="13"/>
  <c r="DU59" i="13"/>
  <c r="DV59" i="13"/>
  <c r="DW59" i="13"/>
  <c r="DD60" i="13"/>
  <c r="DE60" i="13"/>
  <c r="DF60" i="13"/>
  <c r="DG60" i="13"/>
  <c r="DH60" i="13"/>
  <c r="DI60" i="13"/>
  <c r="DJ60" i="13"/>
  <c r="DK60" i="13"/>
  <c r="DL60" i="13"/>
  <c r="DM60" i="13"/>
  <c r="DN60" i="13"/>
  <c r="DO60" i="13"/>
  <c r="DP60" i="13"/>
  <c r="DQ60" i="13"/>
  <c r="DR60" i="13"/>
  <c r="DS60" i="13"/>
  <c r="DT60" i="13"/>
  <c r="DU60" i="13"/>
  <c r="DV60" i="13"/>
  <c r="DW60" i="13"/>
  <c r="DD61" i="13"/>
  <c r="DE61" i="13"/>
  <c r="DF61" i="13"/>
  <c r="DG61" i="13"/>
  <c r="DH61" i="13"/>
  <c r="DI61" i="13"/>
  <c r="DJ61" i="13"/>
  <c r="DK61" i="13"/>
  <c r="DL61" i="13"/>
  <c r="DM61" i="13"/>
  <c r="DN61" i="13"/>
  <c r="DO61" i="13"/>
  <c r="DP61" i="13"/>
  <c r="DQ61" i="13"/>
  <c r="DR61" i="13"/>
  <c r="DS61" i="13"/>
  <c r="DT61" i="13"/>
  <c r="DU61" i="13"/>
  <c r="DV61" i="13"/>
  <c r="DW61" i="13"/>
  <c r="DD62" i="13"/>
  <c r="DE62" i="13"/>
  <c r="DF62" i="13"/>
  <c r="DG62" i="13"/>
  <c r="DH62" i="13"/>
  <c r="DI62" i="13"/>
  <c r="DJ62" i="13"/>
  <c r="DK62" i="13"/>
  <c r="DL62" i="13"/>
  <c r="DM62" i="13"/>
  <c r="DN62" i="13"/>
  <c r="DO62" i="13"/>
  <c r="DP62" i="13"/>
  <c r="DQ62" i="13"/>
  <c r="DR62" i="13"/>
  <c r="DS62" i="13"/>
  <c r="DT62" i="13"/>
  <c r="DU62" i="13"/>
  <c r="DV62" i="13"/>
  <c r="DW62" i="13"/>
  <c r="DD63" i="13"/>
  <c r="DE63" i="13"/>
  <c r="DF63" i="13"/>
  <c r="DG63" i="13"/>
  <c r="DH63" i="13"/>
  <c r="DI63" i="13"/>
  <c r="DJ63" i="13"/>
  <c r="DK63" i="13"/>
  <c r="DL63" i="13"/>
  <c r="DM63" i="13"/>
  <c r="DN63" i="13"/>
  <c r="DO63" i="13"/>
  <c r="DP63" i="13"/>
  <c r="DQ63" i="13"/>
  <c r="DR63" i="13"/>
  <c r="DS63" i="13"/>
  <c r="DT63" i="13"/>
  <c r="DU63" i="13"/>
  <c r="DV63" i="13"/>
  <c r="DW63" i="13"/>
  <c r="DD64" i="13"/>
  <c r="DE64" i="13"/>
  <c r="DF64" i="13"/>
  <c r="DG64" i="13"/>
  <c r="DH64" i="13"/>
  <c r="DI64" i="13"/>
  <c r="DJ64" i="13"/>
  <c r="DK64" i="13"/>
  <c r="DL64" i="13"/>
  <c r="DM64" i="13"/>
  <c r="DN64" i="13"/>
  <c r="DO64" i="13"/>
  <c r="DP64" i="13"/>
  <c r="DQ64" i="13"/>
  <c r="DR64" i="13"/>
  <c r="DS64" i="13"/>
  <c r="DT64" i="13"/>
  <c r="DU64" i="13"/>
  <c r="DV64" i="13"/>
  <c r="DW64" i="13"/>
  <c r="DD65" i="13"/>
  <c r="DE65" i="13"/>
  <c r="DF65" i="13"/>
  <c r="DG65" i="13"/>
  <c r="DH65" i="13"/>
  <c r="DI65" i="13"/>
  <c r="DJ65" i="13"/>
  <c r="DK65" i="13"/>
  <c r="DL65" i="13"/>
  <c r="DM65" i="13"/>
  <c r="DN65" i="13"/>
  <c r="DO65" i="13"/>
  <c r="DP65" i="13"/>
  <c r="DQ65" i="13"/>
  <c r="DR65" i="13"/>
  <c r="DS65" i="13"/>
  <c r="DT65" i="13"/>
  <c r="DU65" i="13"/>
  <c r="DV65" i="13"/>
  <c r="DW65" i="13"/>
  <c r="DD66" i="13"/>
  <c r="DE66" i="13"/>
  <c r="DF66" i="13"/>
  <c r="DG66" i="13"/>
  <c r="DH66" i="13"/>
  <c r="DI66" i="13"/>
  <c r="DJ66" i="13"/>
  <c r="DK66" i="13"/>
  <c r="DL66" i="13"/>
  <c r="DM66" i="13"/>
  <c r="DN66" i="13"/>
  <c r="DO66" i="13"/>
  <c r="DP66" i="13"/>
  <c r="DQ66" i="13"/>
  <c r="DR66" i="13"/>
  <c r="DS66" i="13"/>
  <c r="DT66" i="13"/>
  <c r="DU66" i="13"/>
  <c r="DV66" i="13"/>
  <c r="DW66" i="13"/>
  <c r="DD67" i="13"/>
  <c r="DE67" i="13"/>
  <c r="DF67" i="13"/>
  <c r="DG67" i="13"/>
  <c r="DH67" i="13"/>
  <c r="DI67" i="13"/>
  <c r="DJ67" i="13"/>
  <c r="DK67" i="13"/>
  <c r="DL67" i="13"/>
  <c r="DM67" i="13"/>
  <c r="DN67" i="13"/>
  <c r="DO67" i="13"/>
  <c r="DP67" i="13"/>
  <c r="DQ67" i="13"/>
  <c r="DR67" i="13"/>
  <c r="DS67" i="13"/>
  <c r="DT67" i="13"/>
  <c r="DU67" i="13"/>
  <c r="DV67" i="13"/>
  <c r="DW67" i="13"/>
  <c r="DD68" i="13"/>
  <c r="DE68" i="13"/>
  <c r="DF68" i="13"/>
  <c r="DG68" i="13"/>
  <c r="DH68" i="13"/>
  <c r="DI68" i="13"/>
  <c r="DJ68" i="13"/>
  <c r="DK68" i="13"/>
  <c r="DL68" i="13"/>
  <c r="DM68" i="13"/>
  <c r="DN68" i="13"/>
  <c r="DO68" i="13"/>
  <c r="DP68" i="13"/>
  <c r="DQ68" i="13"/>
  <c r="DR68" i="13"/>
  <c r="DS68" i="13"/>
  <c r="DT68" i="13"/>
  <c r="DU68" i="13"/>
  <c r="DV68" i="13"/>
  <c r="DW68" i="13"/>
  <c r="DD69" i="13"/>
  <c r="DE69" i="13"/>
  <c r="DF69" i="13"/>
  <c r="DG69" i="13"/>
  <c r="DH69" i="13"/>
  <c r="DI69" i="13"/>
  <c r="DJ69" i="13"/>
  <c r="DK69" i="13"/>
  <c r="DL69" i="13"/>
  <c r="DM69" i="13"/>
  <c r="DN69" i="13"/>
  <c r="DO69" i="13"/>
  <c r="DP69" i="13"/>
  <c r="DQ69" i="13"/>
  <c r="DR69" i="13"/>
  <c r="DS69" i="13"/>
  <c r="DT69" i="13"/>
  <c r="DU69" i="13"/>
  <c r="DV69" i="13"/>
  <c r="DW69" i="13"/>
  <c r="DD70" i="13"/>
  <c r="DE70" i="13"/>
  <c r="DF70" i="13"/>
  <c r="DG70" i="13"/>
  <c r="DH70" i="13"/>
  <c r="DI70" i="13"/>
  <c r="DJ70" i="13"/>
  <c r="DK70" i="13"/>
  <c r="DL70" i="13"/>
  <c r="DM70" i="13"/>
  <c r="DN70" i="13"/>
  <c r="DO70" i="13"/>
  <c r="DP70" i="13"/>
  <c r="DQ70" i="13"/>
  <c r="DR70" i="13"/>
  <c r="DS70" i="13"/>
  <c r="DT70" i="13"/>
  <c r="DU70" i="13"/>
  <c r="DV70" i="13"/>
  <c r="DW70" i="13"/>
  <c r="DD71" i="13"/>
  <c r="DE71" i="13"/>
  <c r="DF71" i="13"/>
  <c r="DG71" i="13"/>
  <c r="DH71" i="13"/>
  <c r="DI71" i="13"/>
  <c r="DJ71" i="13"/>
  <c r="DK71" i="13"/>
  <c r="DL71" i="13"/>
  <c r="DM71" i="13"/>
  <c r="DN71" i="13"/>
  <c r="DO71" i="13"/>
  <c r="DP71" i="13"/>
  <c r="DQ71" i="13"/>
  <c r="DR71" i="13"/>
  <c r="DS71" i="13"/>
  <c r="DT71" i="13"/>
  <c r="DU71" i="13"/>
  <c r="DV71" i="13"/>
  <c r="DW71" i="13"/>
  <c r="DD72" i="13"/>
  <c r="DE72" i="13"/>
  <c r="DF72" i="13"/>
  <c r="DG72" i="13"/>
  <c r="DH72" i="13"/>
  <c r="DI72" i="13"/>
  <c r="DJ72" i="13"/>
  <c r="DK72" i="13"/>
  <c r="DL72" i="13"/>
  <c r="DM72" i="13"/>
  <c r="DN72" i="13"/>
  <c r="DO72" i="13"/>
  <c r="DP72" i="13"/>
  <c r="DQ72" i="13"/>
  <c r="DR72" i="13"/>
  <c r="DS72" i="13"/>
  <c r="DT72" i="13"/>
  <c r="DU72" i="13"/>
  <c r="DV72" i="13"/>
  <c r="DW72" i="13"/>
  <c r="DD73" i="13"/>
  <c r="DE73" i="13"/>
  <c r="DF73" i="13"/>
  <c r="DG73" i="13"/>
  <c r="DH73" i="13"/>
  <c r="DI73" i="13"/>
  <c r="DJ73" i="13"/>
  <c r="DK73" i="13"/>
  <c r="DL73" i="13"/>
  <c r="DM73" i="13"/>
  <c r="DN73" i="13"/>
  <c r="DO73" i="13"/>
  <c r="DP73" i="13"/>
  <c r="DQ73" i="13"/>
  <c r="DR73" i="13"/>
  <c r="DS73" i="13"/>
  <c r="DT73" i="13"/>
  <c r="DU73" i="13"/>
  <c r="DV73" i="13"/>
  <c r="DW73" i="13"/>
  <c r="DD74" i="13"/>
  <c r="DE74" i="13"/>
  <c r="DF74" i="13"/>
  <c r="DG74" i="13"/>
  <c r="DH74" i="13"/>
  <c r="DI74" i="13"/>
  <c r="DJ74" i="13"/>
  <c r="DK74" i="13"/>
  <c r="DL74" i="13"/>
  <c r="DM74" i="13"/>
  <c r="DN74" i="13"/>
  <c r="DO74" i="13"/>
  <c r="DP74" i="13"/>
  <c r="DQ74" i="13"/>
  <c r="DR74" i="13"/>
  <c r="DS74" i="13"/>
  <c r="DT74" i="13"/>
  <c r="DU74" i="13"/>
  <c r="DV74" i="13"/>
  <c r="DW74" i="13"/>
  <c r="DD75" i="13"/>
  <c r="DE75" i="13"/>
  <c r="DF75" i="13"/>
  <c r="DG75" i="13"/>
  <c r="DH75" i="13"/>
  <c r="DI75" i="13"/>
  <c r="DJ75" i="13"/>
  <c r="DK75" i="13"/>
  <c r="DL75" i="13"/>
  <c r="DM75" i="13"/>
  <c r="DN75" i="13"/>
  <c r="DO75" i="13"/>
  <c r="DP75" i="13"/>
  <c r="DQ75" i="13"/>
  <c r="DR75" i="13"/>
  <c r="DS75" i="13"/>
  <c r="DT75" i="13"/>
  <c r="DU75" i="13"/>
  <c r="DV75" i="13"/>
  <c r="DW75" i="13"/>
  <c r="DD76" i="13"/>
  <c r="DE76" i="13"/>
  <c r="DF76" i="13"/>
  <c r="DG76" i="13"/>
  <c r="DH76" i="13"/>
  <c r="DI76" i="13"/>
  <c r="DJ76" i="13"/>
  <c r="DK76" i="13"/>
  <c r="DL76" i="13"/>
  <c r="DM76" i="13"/>
  <c r="DN76" i="13"/>
  <c r="DO76" i="13"/>
  <c r="DP76" i="13"/>
  <c r="DQ76" i="13"/>
  <c r="DR76" i="13"/>
  <c r="DS76" i="13"/>
  <c r="DT76" i="13"/>
  <c r="DU76" i="13"/>
  <c r="DV76" i="13"/>
  <c r="DW76" i="13"/>
  <c r="DD77" i="13"/>
  <c r="DE77" i="13"/>
  <c r="DF77" i="13"/>
  <c r="DG77" i="13"/>
  <c r="DH77" i="13"/>
  <c r="DI77" i="13"/>
  <c r="DJ77" i="13"/>
  <c r="DK77" i="13"/>
  <c r="DL77" i="13"/>
  <c r="DM77" i="13"/>
  <c r="DN77" i="13"/>
  <c r="DO77" i="13"/>
  <c r="DP77" i="13"/>
  <c r="DQ77" i="13"/>
  <c r="DR77" i="13"/>
  <c r="DS77" i="13"/>
  <c r="DT77" i="13"/>
  <c r="DU77" i="13"/>
  <c r="DV77" i="13"/>
  <c r="DW77" i="13"/>
  <c r="DD78" i="13"/>
  <c r="DE78" i="13"/>
  <c r="DF78" i="13"/>
  <c r="DG78" i="13"/>
  <c r="DH78" i="13"/>
  <c r="DI78" i="13"/>
  <c r="DJ78" i="13"/>
  <c r="DK78" i="13"/>
  <c r="DL78" i="13"/>
  <c r="DM78" i="13"/>
  <c r="DN78" i="13"/>
  <c r="DO78" i="13"/>
  <c r="DP78" i="13"/>
  <c r="DQ78" i="13"/>
  <c r="DR78" i="13"/>
  <c r="DS78" i="13"/>
  <c r="DT78" i="13"/>
  <c r="DU78" i="13"/>
  <c r="DV78" i="13"/>
  <c r="DW78" i="13"/>
  <c r="DD79" i="13"/>
  <c r="DE79" i="13"/>
  <c r="DF79" i="13"/>
  <c r="DG79" i="13"/>
  <c r="DH79" i="13"/>
  <c r="DI79" i="13"/>
  <c r="DJ79" i="13"/>
  <c r="DK79" i="13"/>
  <c r="DL79" i="13"/>
  <c r="DM79" i="13"/>
  <c r="DN79" i="13"/>
  <c r="DO79" i="13"/>
  <c r="DP79" i="13"/>
  <c r="DQ79" i="13"/>
  <c r="DR79" i="13"/>
  <c r="DS79" i="13"/>
  <c r="DT79" i="13"/>
  <c r="DU79" i="13"/>
  <c r="DV79" i="13"/>
  <c r="DW79" i="13"/>
  <c r="DD80" i="13"/>
  <c r="DE80" i="13"/>
  <c r="DF80" i="13"/>
  <c r="DG80" i="13"/>
  <c r="DH80" i="13"/>
  <c r="DI80" i="13"/>
  <c r="DJ80" i="13"/>
  <c r="DK80" i="13"/>
  <c r="DL80" i="13"/>
  <c r="DM80" i="13"/>
  <c r="DN80" i="13"/>
  <c r="DO80" i="13"/>
  <c r="DP80" i="13"/>
  <c r="DQ80" i="13"/>
  <c r="DR80" i="13"/>
  <c r="DS80" i="13"/>
  <c r="DT80" i="13"/>
  <c r="DU80" i="13"/>
  <c r="DV80" i="13"/>
  <c r="DW80" i="13"/>
  <c r="DD81" i="13"/>
  <c r="DE81" i="13"/>
  <c r="DF81" i="13"/>
  <c r="DG81" i="13"/>
  <c r="DH81" i="13"/>
  <c r="DI81" i="13"/>
  <c r="DJ81" i="13"/>
  <c r="DK81" i="13"/>
  <c r="DL81" i="13"/>
  <c r="DM81" i="13"/>
  <c r="DN81" i="13"/>
  <c r="DO81" i="13"/>
  <c r="DP81" i="13"/>
  <c r="DQ81" i="13"/>
  <c r="DR81" i="13"/>
  <c r="DS81" i="13"/>
  <c r="DT81" i="13"/>
  <c r="DU81" i="13"/>
  <c r="DV81" i="13"/>
  <c r="DW81" i="13"/>
  <c r="DD82" i="13"/>
  <c r="DE82" i="13"/>
  <c r="DF82" i="13"/>
  <c r="DG82" i="13"/>
  <c r="DH82" i="13"/>
  <c r="DI82" i="13"/>
  <c r="DJ82" i="13"/>
  <c r="DK82" i="13"/>
  <c r="DL82" i="13"/>
  <c r="DM82" i="13"/>
  <c r="DN82" i="13"/>
  <c r="DO82" i="13"/>
  <c r="DP82" i="13"/>
  <c r="DQ82" i="13"/>
  <c r="DR82" i="13"/>
  <c r="DS82" i="13"/>
  <c r="DT82" i="13"/>
  <c r="DU82" i="13"/>
  <c r="DV82" i="13"/>
  <c r="DW82" i="13"/>
  <c r="DD83" i="13"/>
  <c r="DE83" i="13"/>
  <c r="DF83" i="13"/>
  <c r="DG83" i="13"/>
  <c r="DH83" i="13"/>
  <c r="DI83" i="13"/>
  <c r="DJ83" i="13"/>
  <c r="DK83" i="13"/>
  <c r="DL83" i="13"/>
  <c r="DM83" i="13"/>
  <c r="DN83" i="13"/>
  <c r="DO83" i="13"/>
  <c r="DP83" i="13"/>
  <c r="DQ83" i="13"/>
  <c r="DR83" i="13"/>
  <c r="DS83" i="13"/>
  <c r="DT83" i="13"/>
  <c r="DU83" i="13"/>
  <c r="DV83" i="13"/>
  <c r="DW83" i="13"/>
  <c r="DD84" i="13"/>
  <c r="DE84" i="13"/>
  <c r="DF84" i="13"/>
  <c r="DG84" i="13"/>
  <c r="DH84" i="13"/>
  <c r="DI84" i="13"/>
  <c r="DJ84" i="13"/>
  <c r="DK84" i="13"/>
  <c r="DL84" i="13"/>
  <c r="DM84" i="13"/>
  <c r="DN84" i="13"/>
  <c r="DO84" i="13"/>
  <c r="DP84" i="13"/>
  <c r="DQ84" i="13"/>
  <c r="DR84" i="13"/>
  <c r="DS84" i="13"/>
  <c r="DT84" i="13"/>
  <c r="DU84" i="13"/>
  <c r="DV84" i="13"/>
  <c r="DW84" i="13"/>
  <c r="DD85" i="13"/>
  <c r="DE85" i="13"/>
  <c r="DF85" i="13"/>
  <c r="DG85" i="13"/>
  <c r="DH85" i="13"/>
  <c r="DI85" i="13"/>
  <c r="DJ85" i="13"/>
  <c r="DK85" i="13"/>
  <c r="DL85" i="13"/>
  <c r="DM85" i="13"/>
  <c r="DN85" i="13"/>
  <c r="DO85" i="13"/>
  <c r="DP85" i="13"/>
  <c r="DQ85" i="13"/>
  <c r="DR85" i="13"/>
  <c r="DS85" i="13"/>
  <c r="DT85" i="13"/>
  <c r="DU85" i="13"/>
  <c r="DV85" i="13"/>
  <c r="DW85" i="13"/>
  <c r="DD86" i="13"/>
  <c r="DE86" i="13"/>
  <c r="DF86" i="13"/>
  <c r="DG86" i="13"/>
  <c r="DH86" i="13"/>
  <c r="DI86" i="13"/>
  <c r="DJ86" i="13"/>
  <c r="DK86" i="13"/>
  <c r="DL86" i="13"/>
  <c r="DM86" i="13"/>
  <c r="DN86" i="13"/>
  <c r="DO86" i="13"/>
  <c r="DP86" i="13"/>
  <c r="DQ86" i="13"/>
  <c r="DR86" i="13"/>
  <c r="DS86" i="13"/>
  <c r="DT86" i="13"/>
  <c r="DU86" i="13"/>
  <c r="DV86" i="13"/>
  <c r="DW86" i="13"/>
  <c r="DD87" i="13"/>
  <c r="DE87" i="13"/>
  <c r="DF87" i="13"/>
  <c r="DG87" i="13"/>
  <c r="DH87" i="13"/>
  <c r="DI87" i="13"/>
  <c r="DJ87" i="13"/>
  <c r="DK87" i="13"/>
  <c r="DL87" i="13"/>
  <c r="DM87" i="13"/>
  <c r="DN87" i="13"/>
  <c r="DO87" i="13"/>
  <c r="DP87" i="13"/>
  <c r="DQ87" i="13"/>
  <c r="DR87" i="13"/>
  <c r="DS87" i="13"/>
  <c r="DT87" i="13"/>
  <c r="DU87" i="13"/>
  <c r="DV87" i="13"/>
  <c r="DW87" i="13"/>
  <c r="DD88" i="13"/>
  <c r="DE88" i="13"/>
  <c r="DF88" i="13"/>
  <c r="DG88" i="13"/>
  <c r="DH88" i="13"/>
  <c r="DI88" i="13"/>
  <c r="DJ88" i="13"/>
  <c r="DK88" i="13"/>
  <c r="DL88" i="13"/>
  <c r="DM88" i="13"/>
  <c r="DN88" i="13"/>
  <c r="DO88" i="13"/>
  <c r="DP88" i="13"/>
  <c r="DQ88" i="13"/>
  <c r="DR88" i="13"/>
  <c r="DS88" i="13"/>
  <c r="DT88" i="13"/>
  <c r="DU88" i="13"/>
  <c r="DV88" i="13"/>
  <c r="DW88" i="13"/>
  <c r="DD89" i="13"/>
  <c r="DE89" i="13"/>
  <c r="DF89" i="13"/>
  <c r="DG89" i="13"/>
  <c r="DH89" i="13"/>
  <c r="DI89" i="13"/>
  <c r="DJ89" i="13"/>
  <c r="DK89" i="13"/>
  <c r="DL89" i="13"/>
  <c r="DM89" i="13"/>
  <c r="DN89" i="13"/>
  <c r="DO89" i="13"/>
  <c r="DP89" i="13"/>
  <c r="DQ89" i="13"/>
  <c r="DR89" i="13"/>
  <c r="DS89" i="13"/>
  <c r="DT89" i="13"/>
  <c r="DU89" i="13"/>
  <c r="DV89" i="13"/>
  <c r="DW89" i="13"/>
  <c r="DD90" i="13"/>
  <c r="DE90" i="13"/>
  <c r="DF90" i="13"/>
  <c r="DG90" i="13"/>
  <c r="DH90" i="13"/>
  <c r="DI90" i="13"/>
  <c r="DJ90" i="13"/>
  <c r="DK90" i="13"/>
  <c r="DL90" i="13"/>
  <c r="DM90" i="13"/>
  <c r="DN90" i="13"/>
  <c r="DO90" i="13"/>
  <c r="DP90" i="13"/>
  <c r="DQ90" i="13"/>
  <c r="DR90" i="13"/>
  <c r="DS90" i="13"/>
  <c r="DT90" i="13"/>
  <c r="DU90" i="13"/>
  <c r="DV90" i="13"/>
  <c r="DW90" i="13"/>
  <c r="DD91" i="13"/>
  <c r="DE91" i="13"/>
  <c r="DF91" i="13"/>
  <c r="DG91" i="13"/>
  <c r="DH91" i="13"/>
  <c r="DI91" i="13"/>
  <c r="DJ91" i="13"/>
  <c r="DK91" i="13"/>
  <c r="DL91" i="13"/>
  <c r="DM91" i="13"/>
  <c r="DN91" i="13"/>
  <c r="DO91" i="13"/>
  <c r="DP91" i="13"/>
  <c r="DQ91" i="13"/>
  <c r="DR91" i="13"/>
  <c r="DS91" i="13"/>
  <c r="DT91" i="13"/>
  <c r="DU91" i="13"/>
  <c r="DV91" i="13"/>
  <c r="DW91" i="13"/>
  <c r="DD92" i="13"/>
  <c r="DE92" i="13"/>
  <c r="DF92" i="13"/>
  <c r="DG92" i="13"/>
  <c r="DH92" i="13"/>
  <c r="DI92" i="13"/>
  <c r="DJ92" i="13"/>
  <c r="DK92" i="13"/>
  <c r="DL92" i="13"/>
  <c r="DM92" i="13"/>
  <c r="DN92" i="13"/>
  <c r="DO92" i="13"/>
  <c r="DP92" i="13"/>
  <c r="DQ92" i="13"/>
  <c r="DR92" i="13"/>
  <c r="DS92" i="13"/>
  <c r="DT92" i="13"/>
  <c r="DU92" i="13"/>
  <c r="DV92" i="13"/>
  <c r="DW92" i="13"/>
  <c r="DD93" i="13"/>
  <c r="DE93" i="13"/>
  <c r="DF93" i="13"/>
  <c r="DG93" i="13"/>
  <c r="DH93" i="13"/>
  <c r="DI93" i="13"/>
  <c r="DJ93" i="13"/>
  <c r="DK93" i="13"/>
  <c r="DL93" i="13"/>
  <c r="DM93" i="13"/>
  <c r="DN93" i="13"/>
  <c r="DO93" i="13"/>
  <c r="DP93" i="13"/>
  <c r="DQ93" i="13"/>
  <c r="DR93" i="13"/>
  <c r="DS93" i="13"/>
  <c r="DT93" i="13"/>
  <c r="DU93" i="13"/>
  <c r="DV93" i="13"/>
  <c r="DW93" i="13"/>
  <c r="DD94" i="13"/>
  <c r="DE94" i="13"/>
  <c r="DF94" i="13"/>
  <c r="DG94" i="13"/>
  <c r="DH94" i="13"/>
  <c r="DI94" i="13"/>
  <c r="DJ94" i="13"/>
  <c r="DK94" i="13"/>
  <c r="DL94" i="13"/>
  <c r="DM94" i="13"/>
  <c r="DN94" i="13"/>
  <c r="DO94" i="13"/>
  <c r="DP94" i="13"/>
  <c r="DQ94" i="13"/>
  <c r="DR94" i="13"/>
  <c r="DS94" i="13"/>
  <c r="DT94" i="13"/>
  <c r="DU94" i="13"/>
  <c r="DV94" i="13"/>
  <c r="DW94" i="13"/>
  <c r="DD95" i="13"/>
  <c r="DE95" i="13"/>
  <c r="DF95" i="13"/>
  <c r="DG95" i="13"/>
  <c r="DH95" i="13"/>
  <c r="DI95" i="13"/>
  <c r="DJ95" i="13"/>
  <c r="DK95" i="13"/>
  <c r="DL95" i="13"/>
  <c r="DM95" i="13"/>
  <c r="DN95" i="13"/>
  <c r="DO95" i="13"/>
  <c r="DP95" i="13"/>
  <c r="DQ95" i="13"/>
  <c r="DR95" i="13"/>
  <c r="DS95" i="13"/>
  <c r="DT95" i="13"/>
  <c r="DU95" i="13"/>
  <c r="DV95" i="13"/>
  <c r="DW95" i="13"/>
  <c r="DD96" i="13"/>
  <c r="DE96" i="13"/>
  <c r="DF96" i="13"/>
  <c r="DG96" i="13"/>
  <c r="DH96" i="13"/>
  <c r="DI96" i="13"/>
  <c r="DJ96" i="13"/>
  <c r="DK96" i="13"/>
  <c r="DL96" i="13"/>
  <c r="DM96" i="13"/>
  <c r="DN96" i="13"/>
  <c r="DO96" i="13"/>
  <c r="DP96" i="13"/>
  <c r="DQ96" i="13"/>
  <c r="DR96" i="13"/>
  <c r="DS96" i="13"/>
  <c r="DT96" i="13"/>
  <c r="DU96" i="13"/>
  <c r="DV96" i="13"/>
  <c r="DW96" i="13"/>
  <c r="DD97" i="13"/>
  <c r="DE97" i="13"/>
  <c r="DF97" i="13"/>
  <c r="DG97" i="13"/>
  <c r="DH97" i="13"/>
  <c r="DI97" i="13"/>
  <c r="DJ97" i="13"/>
  <c r="DK97" i="13"/>
  <c r="DL97" i="13"/>
  <c r="DM97" i="13"/>
  <c r="DN97" i="13"/>
  <c r="DO97" i="13"/>
  <c r="DP97" i="13"/>
  <c r="DQ97" i="13"/>
  <c r="DR97" i="13"/>
  <c r="DS97" i="13"/>
  <c r="DT97" i="13"/>
  <c r="DU97" i="13"/>
  <c r="DV97" i="13"/>
  <c r="DW97" i="13"/>
  <c r="DD98" i="13"/>
  <c r="DE98" i="13"/>
  <c r="DF98" i="13"/>
  <c r="DG98" i="13"/>
  <c r="DH98" i="13"/>
  <c r="DI98" i="13"/>
  <c r="DJ98" i="13"/>
  <c r="DK98" i="13"/>
  <c r="DL98" i="13"/>
  <c r="DM98" i="13"/>
  <c r="DN98" i="13"/>
  <c r="DO98" i="13"/>
  <c r="DP98" i="13"/>
  <c r="DQ98" i="13"/>
  <c r="DR98" i="13"/>
  <c r="DS98" i="13"/>
  <c r="DT98" i="13"/>
  <c r="DU98" i="13"/>
  <c r="DV98" i="13"/>
  <c r="DW98" i="13"/>
  <c r="DD99" i="13"/>
  <c r="DE99" i="13"/>
  <c r="DF99" i="13"/>
  <c r="DG99" i="13"/>
  <c r="DH99" i="13"/>
  <c r="DI99" i="13"/>
  <c r="DJ99" i="13"/>
  <c r="DK99" i="13"/>
  <c r="DL99" i="13"/>
  <c r="DM99" i="13"/>
  <c r="DN99" i="13"/>
  <c r="DO99" i="13"/>
  <c r="DP99" i="13"/>
  <c r="DQ99" i="13"/>
  <c r="DR99" i="13"/>
  <c r="DS99" i="13"/>
  <c r="DT99" i="13"/>
  <c r="DU99" i="13"/>
  <c r="DV99" i="13"/>
  <c r="DW99" i="13"/>
  <c r="DD100" i="13"/>
  <c r="DE100" i="13"/>
  <c r="DF100" i="13"/>
  <c r="DG100" i="13"/>
  <c r="DH100" i="13"/>
  <c r="DI100" i="13"/>
  <c r="DJ100" i="13"/>
  <c r="DK100" i="13"/>
  <c r="DL100" i="13"/>
  <c r="DM100" i="13"/>
  <c r="DN100" i="13"/>
  <c r="DO100" i="13"/>
  <c r="DP100" i="13"/>
  <c r="DQ100" i="13"/>
  <c r="DR100" i="13"/>
  <c r="DS100" i="13"/>
  <c r="DT100" i="13"/>
  <c r="DU100" i="13"/>
  <c r="DV100" i="13"/>
  <c r="DW100" i="13"/>
  <c r="DD101" i="13"/>
  <c r="DE101" i="13"/>
  <c r="DF101" i="13"/>
  <c r="DG101" i="13"/>
  <c r="DH101" i="13"/>
  <c r="DI101" i="13"/>
  <c r="DJ101" i="13"/>
  <c r="DK101" i="13"/>
  <c r="DL101" i="13"/>
  <c r="DM101" i="13"/>
  <c r="DN101" i="13"/>
  <c r="DO101" i="13"/>
  <c r="DP101" i="13"/>
  <c r="DQ101" i="13"/>
  <c r="DR101" i="13"/>
  <c r="DS101" i="13"/>
  <c r="DT101" i="13"/>
  <c r="DU101" i="13"/>
  <c r="DV101" i="13"/>
  <c r="DW101" i="13"/>
  <c r="DD102" i="13"/>
  <c r="DE102" i="13"/>
  <c r="DF102" i="13"/>
  <c r="DG102" i="13"/>
  <c r="DH102" i="13"/>
  <c r="DI102" i="13"/>
  <c r="DJ102" i="13"/>
  <c r="DK102" i="13"/>
  <c r="DL102" i="13"/>
  <c r="DM102" i="13"/>
  <c r="DN102" i="13"/>
  <c r="DO102" i="13"/>
  <c r="DP102" i="13"/>
  <c r="DQ102" i="13"/>
  <c r="DR102" i="13"/>
  <c r="DS102" i="13"/>
  <c r="DT102" i="13"/>
  <c r="DU102" i="13"/>
  <c r="DV102" i="13"/>
  <c r="DW102" i="13"/>
  <c r="DD103" i="13"/>
  <c r="DE103" i="13"/>
  <c r="DF103" i="13"/>
  <c r="DG103" i="13"/>
  <c r="DH103" i="13"/>
  <c r="DI103" i="13"/>
  <c r="DJ103" i="13"/>
  <c r="DK103" i="13"/>
  <c r="DL103" i="13"/>
  <c r="DM103" i="13"/>
  <c r="DN103" i="13"/>
  <c r="DO103" i="13"/>
  <c r="DP103" i="13"/>
  <c r="DQ103" i="13"/>
  <c r="DR103" i="13"/>
  <c r="DS103" i="13"/>
  <c r="DT103" i="13"/>
  <c r="DU103" i="13"/>
  <c r="DV103" i="13"/>
  <c r="DW103" i="13"/>
  <c r="DD104" i="13"/>
  <c r="DE104" i="13"/>
  <c r="DF104" i="13"/>
  <c r="DG104" i="13"/>
  <c r="DH104" i="13"/>
  <c r="DI104" i="13"/>
  <c r="DJ104" i="13"/>
  <c r="DK104" i="13"/>
  <c r="DL104" i="13"/>
  <c r="DM104" i="13"/>
  <c r="DN104" i="13"/>
  <c r="DO104" i="13"/>
  <c r="DP104" i="13"/>
  <c r="DQ104" i="13"/>
  <c r="DR104" i="13"/>
  <c r="DS104" i="13"/>
  <c r="DT104" i="13"/>
  <c r="DU104" i="13"/>
  <c r="DV104" i="13"/>
  <c r="DW104" i="13"/>
  <c r="DD105" i="13"/>
  <c r="DE105" i="13"/>
  <c r="DF105" i="13"/>
  <c r="DG105" i="13"/>
  <c r="DH105" i="13"/>
  <c r="DI105" i="13"/>
  <c r="DJ105" i="13"/>
  <c r="DK105" i="13"/>
  <c r="DL105" i="13"/>
  <c r="DM105" i="13"/>
  <c r="DN105" i="13"/>
  <c r="DO105" i="13"/>
  <c r="DP105" i="13"/>
  <c r="DQ105" i="13"/>
  <c r="DR105" i="13"/>
  <c r="DS105" i="13"/>
  <c r="DT105" i="13"/>
  <c r="DU105" i="13"/>
  <c r="DV105" i="13"/>
  <c r="DW105" i="13"/>
  <c r="DD106" i="13"/>
  <c r="DE106" i="13"/>
  <c r="DF106" i="13"/>
  <c r="DG106" i="13"/>
  <c r="DH106" i="13"/>
  <c r="DI106" i="13"/>
  <c r="DJ106" i="13"/>
  <c r="DK106" i="13"/>
  <c r="DL106" i="13"/>
  <c r="DM106" i="13"/>
  <c r="DN106" i="13"/>
  <c r="DO106" i="13"/>
  <c r="DP106" i="13"/>
  <c r="DQ106" i="13"/>
  <c r="DR106" i="13"/>
  <c r="DS106" i="13"/>
  <c r="DT106" i="13"/>
  <c r="DU106" i="13"/>
  <c r="DV106" i="13"/>
  <c r="DW106" i="13"/>
  <c r="DD107" i="13"/>
  <c r="DE107" i="13"/>
  <c r="DF107" i="13"/>
  <c r="DG107" i="13"/>
  <c r="DH107" i="13"/>
  <c r="DI107" i="13"/>
  <c r="DJ107" i="13"/>
  <c r="DK107" i="13"/>
  <c r="DL107" i="13"/>
  <c r="DM107" i="13"/>
  <c r="DN107" i="13"/>
  <c r="DO107" i="13"/>
  <c r="DP107" i="13"/>
  <c r="DQ107" i="13"/>
  <c r="DR107" i="13"/>
  <c r="DS107" i="13"/>
  <c r="DT107" i="13"/>
  <c r="DU107" i="13"/>
  <c r="DV107" i="13"/>
  <c r="DW107" i="13"/>
  <c r="DD108" i="13"/>
  <c r="DE108" i="13"/>
  <c r="DF108" i="13"/>
  <c r="DG108" i="13"/>
  <c r="DH108" i="13"/>
  <c r="DI108" i="13"/>
  <c r="DJ108" i="13"/>
  <c r="DK108" i="13"/>
  <c r="DL108" i="13"/>
  <c r="DM108" i="13"/>
  <c r="DN108" i="13"/>
  <c r="DO108" i="13"/>
  <c r="DP108" i="13"/>
  <c r="DQ108" i="13"/>
  <c r="DR108" i="13"/>
  <c r="DS108" i="13"/>
  <c r="DT108" i="13"/>
  <c r="DU108" i="13"/>
  <c r="DV108" i="13"/>
  <c r="DW108" i="13"/>
  <c r="DD109" i="13"/>
  <c r="DE109" i="13"/>
  <c r="DF109" i="13"/>
  <c r="DG109" i="13"/>
  <c r="DH109" i="13"/>
  <c r="DI109" i="13"/>
  <c r="DJ109" i="13"/>
  <c r="DK109" i="13"/>
  <c r="DL109" i="13"/>
  <c r="DM109" i="13"/>
  <c r="DN109" i="13"/>
  <c r="DO109" i="13"/>
  <c r="DP109" i="13"/>
  <c r="DQ109" i="13"/>
  <c r="DR109" i="13"/>
  <c r="DS109" i="13"/>
  <c r="DT109" i="13"/>
  <c r="DU109" i="13"/>
  <c r="DV109" i="13"/>
  <c r="DW109" i="13"/>
  <c r="DD110" i="13"/>
  <c r="DE110" i="13"/>
  <c r="DF110" i="13"/>
  <c r="DG110" i="13"/>
  <c r="DH110" i="13"/>
  <c r="DI110" i="13"/>
  <c r="DJ110" i="13"/>
  <c r="DK110" i="13"/>
  <c r="DL110" i="13"/>
  <c r="DM110" i="13"/>
  <c r="DN110" i="13"/>
  <c r="DO110" i="13"/>
  <c r="DP110" i="13"/>
  <c r="DQ110" i="13"/>
  <c r="DR110" i="13"/>
  <c r="DS110" i="13"/>
  <c r="DT110" i="13"/>
  <c r="DU110" i="13"/>
  <c r="DV110" i="13"/>
  <c r="DW110" i="13"/>
  <c r="DD111" i="13"/>
  <c r="DE111" i="13"/>
  <c r="DF111" i="13"/>
  <c r="DG111" i="13"/>
  <c r="DH111" i="13"/>
  <c r="DI111" i="13"/>
  <c r="DJ111" i="13"/>
  <c r="DK111" i="13"/>
  <c r="DL111" i="13"/>
  <c r="DM111" i="13"/>
  <c r="DN111" i="13"/>
  <c r="DO111" i="13"/>
  <c r="DP111" i="13"/>
  <c r="DQ111" i="13"/>
  <c r="DR111" i="13"/>
  <c r="DS111" i="13"/>
  <c r="DT111" i="13"/>
  <c r="DU111" i="13"/>
  <c r="DV111" i="13"/>
  <c r="DW111" i="13"/>
  <c r="DD112" i="13"/>
  <c r="DE112" i="13"/>
  <c r="DF112" i="13"/>
  <c r="DG112" i="13"/>
  <c r="DH112" i="13"/>
  <c r="DI112" i="13"/>
  <c r="DJ112" i="13"/>
  <c r="DK112" i="13"/>
  <c r="DL112" i="13"/>
  <c r="DM112" i="13"/>
  <c r="DN112" i="13"/>
  <c r="DO112" i="13"/>
  <c r="DP112" i="13"/>
  <c r="DQ112" i="13"/>
  <c r="DR112" i="13"/>
  <c r="DS112" i="13"/>
  <c r="DT112" i="13"/>
  <c r="DU112" i="13"/>
  <c r="DV112" i="13"/>
  <c r="DW112" i="13"/>
  <c r="DD113" i="13"/>
  <c r="DE113" i="13"/>
  <c r="DF113" i="13"/>
  <c r="DG113" i="13"/>
  <c r="DH113" i="13"/>
  <c r="DI113" i="13"/>
  <c r="DJ113" i="13"/>
  <c r="DK113" i="13"/>
  <c r="DL113" i="13"/>
  <c r="DM113" i="13"/>
  <c r="DN113" i="13"/>
  <c r="DO113" i="13"/>
  <c r="DP113" i="13"/>
  <c r="DQ113" i="13"/>
  <c r="DR113" i="13"/>
  <c r="DS113" i="13"/>
  <c r="DT113" i="13"/>
  <c r="DU113" i="13"/>
  <c r="DV113" i="13"/>
  <c r="DW113" i="13"/>
  <c r="DD114" i="13"/>
  <c r="DE114" i="13"/>
  <c r="DF114" i="13"/>
  <c r="DG114" i="13"/>
  <c r="DH114" i="13"/>
  <c r="DI114" i="13"/>
  <c r="DJ114" i="13"/>
  <c r="DK114" i="13"/>
  <c r="DL114" i="13"/>
  <c r="DM114" i="13"/>
  <c r="DN114" i="13"/>
  <c r="DO114" i="13"/>
  <c r="DP114" i="13"/>
  <c r="DQ114" i="13"/>
  <c r="DR114" i="13"/>
  <c r="DS114" i="13"/>
  <c r="DT114" i="13"/>
  <c r="DU114" i="13"/>
  <c r="DV114" i="13"/>
  <c r="DW114" i="13"/>
  <c r="DD115" i="13"/>
  <c r="DE115" i="13"/>
  <c r="DF115" i="13"/>
  <c r="DG115" i="13"/>
  <c r="DH115" i="13"/>
  <c r="DI115" i="13"/>
  <c r="DJ115" i="13"/>
  <c r="DK115" i="13"/>
  <c r="DL115" i="13"/>
  <c r="DM115" i="13"/>
  <c r="DN115" i="13"/>
  <c r="DO115" i="13"/>
  <c r="DP115" i="13"/>
  <c r="DQ115" i="13"/>
  <c r="DR115" i="13"/>
  <c r="DS115" i="13"/>
  <c r="DT115" i="13"/>
  <c r="DU115" i="13"/>
  <c r="DV115" i="13"/>
  <c r="DW115" i="13"/>
  <c r="DD116" i="13"/>
  <c r="DE116" i="13"/>
  <c r="DF116" i="13"/>
  <c r="DG116" i="13"/>
  <c r="DH116" i="13"/>
  <c r="DI116" i="13"/>
  <c r="DJ116" i="13"/>
  <c r="DK116" i="13"/>
  <c r="DL116" i="13"/>
  <c r="DM116" i="13"/>
  <c r="DN116" i="13"/>
  <c r="DO116" i="13"/>
  <c r="DP116" i="13"/>
  <c r="DQ116" i="13"/>
  <c r="DR116" i="13"/>
  <c r="DS116" i="13"/>
  <c r="DT116" i="13"/>
  <c r="DU116" i="13"/>
  <c r="DV116" i="13"/>
  <c r="DW116" i="13"/>
  <c r="DD117" i="13"/>
  <c r="DE117" i="13"/>
  <c r="DF117" i="13"/>
  <c r="DG117" i="13"/>
  <c r="DH117" i="13"/>
  <c r="DI117" i="13"/>
  <c r="DJ117" i="13"/>
  <c r="DK117" i="13"/>
  <c r="DL117" i="13"/>
  <c r="DM117" i="13"/>
  <c r="DN117" i="13"/>
  <c r="DO117" i="13"/>
  <c r="DP117" i="13"/>
  <c r="DQ117" i="13"/>
  <c r="DR117" i="13"/>
  <c r="DS117" i="13"/>
  <c r="DT117" i="13"/>
  <c r="DU117" i="13"/>
  <c r="DV117" i="13"/>
  <c r="DW117" i="13"/>
  <c r="DD118" i="13"/>
  <c r="DE118" i="13"/>
  <c r="DF118" i="13"/>
  <c r="DG118" i="13"/>
  <c r="DH118" i="13"/>
  <c r="DI118" i="13"/>
  <c r="DJ118" i="13"/>
  <c r="DK118" i="13"/>
  <c r="DL118" i="13"/>
  <c r="DM118" i="13"/>
  <c r="DN118" i="13"/>
  <c r="DO118" i="13"/>
  <c r="DP118" i="13"/>
  <c r="DQ118" i="13"/>
  <c r="DR118" i="13"/>
  <c r="DS118" i="13"/>
  <c r="DT118" i="13"/>
  <c r="DU118" i="13"/>
  <c r="DV118" i="13"/>
  <c r="DW118" i="13"/>
  <c r="DD119" i="13"/>
  <c r="DE119" i="13"/>
  <c r="DF119" i="13"/>
  <c r="DG119" i="13"/>
  <c r="DH119" i="13"/>
  <c r="DI119" i="13"/>
  <c r="DJ119" i="13"/>
  <c r="DK119" i="13"/>
  <c r="DL119" i="13"/>
  <c r="DM119" i="13"/>
  <c r="DN119" i="13"/>
  <c r="DO119" i="13"/>
  <c r="DP119" i="13"/>
  <c r="DQ119" i="13"/>
  <c r="DR119" i="13"/>
  <c r="DS119" i="13"/>
  <c r="DT119" i="13"/>
  <c r="DU119" i="13"/>
  <c r="DV119" i="13"/>
  <c r="DW119" i="13"/>
  <c r="DD120" i="13"/>
  <c r="DE120" i="13"/>
  <c r="DF120" i="13"/>
  <c r="DG120" i="13"/>
  <c r="DH120" i="13"/>
  <c r="DI120" i="13"/>
  <c r="DJ120" i="13"/>
  <c r="DK120" i="13"/>
  <c r="DL120" i="13"/>
  <c r="DM120" i="13"/>
  <c r="DN120" i="13"/>
  <c r="DO120" i="13"/>
  <c r="DP120" i="13"/>
  <c r="DQ120" i="13"/>
  <c r="DR120" i="13"/>
  <c r="DS120" i="13"/>
  <c r="DT120" i="13"/>
  <c r="DU120" i="13"/>
  <c r="DV120" i="13"/>
  <c r="DW120" i="13"/>
  <c r="DD121" i="13"/>
  <c r="DE121" i="13"/>
  <c r="DF121" i="13"/>
  <c r="DG121" i="13"/>
  <c r="DH121" i="13"/>
  <c r="DI121" i="13"/>
  <c r="DJ121" i="13"/>
  <c r="DK121" i="13"/>
  <c r="DL121" i="13"/>
  <c r="DM121" i="13"/>
  <c r="DN121" i="13"/>
  <c r="DO121" i="13"/>
  <c r="DP121" i="13"/>
  <c r="DQ121" i="13"/>
  <c r="DR121" i="13"/>
  <c r="DS121" i="13"/>
  <c r="DT121" i="13"/>
  <c r="DU121" i="13"/>
  <c r="DV121" i="13"/>
  <c r="DW121" i="13"/>
  <c r="DD122" i="13"/>
  <c r="DE122" i="13"/>
  <c r="DF122" i="13"/>
  <c r="DG122" i="13"/>
  <c r="DH122" i="13"/>
  <c r="DI122" i="13"/>
  <c r="DJ122" i="13"/>
  <c r="DK122" i="13"/>
  <c r="DL122" i="13"/>
  <c r="DM122" i="13"/>
  <c r="DN122" i="13"/>
  <c r="DO122" i="13"/>
  <c r="DP122" i="13"/>
  <c r="DQ122" i="13"/>
  <c r="DR122" i="13"/>
  <c r="DS122" i="13"/>
  <c r="DT122" i="13"/>
  <c r="DU122" i="13"/>
  <c r="DV122" i="13"/>
  <c r="DW122" i="13"/>
  <c r="DD123" i="13"/>
  <c r="DE123" i="13"/>
  <c r="DF123" i="13"/>
  <c r="DG123" i="13"/>
  <c r="DH123" i="13"/>
  <c r="DI123" i="13"/>
  <c r="DJ123" i="13"/>
  <c r="DK123" i="13"/>
  <c r="DL123" i="13"/>
  <c r="DM123" i="13"/>
  <c r="DN123" i="13"/>
  <c r="DO123" i="13"/>
  <c r="DP123" i="13"/>
  <c r="DQ123" i="13"/>
  <c r="DR123" i="13"/>
  <c r="DS123" i="13"/>
  <c r="DT123" i="13"/>
  <c r="DU123" i="13"/>
  <c r="DV123" i="13"/>
  <c r="DW123" i="13"/>
  <c r="DD124" i="13"/>
  <c r="DE124" i="13"/>
  <c r="DF124" i="13"/>
  <c r="DG124" i="13"/>
  <c r="DH124" i="13"/>
  <c r="DI124" i="13"/>
  <c r="DJ124" i="13"/>
  <c r="DK124" i="13"/>
  <c r="DL124" i="13"/>
  <c r="DM124" i="13"/>
  <c r="DN124" i="13"/>
  <c r="DO124" i="13"/>
  <c r="DP124" i="13"/>
  <c r="DQ124" i="13"/>
  <c r="DR124" i="13"/>
  <c r="DS124" i="13"/>
  <c r="DT124" i="13"/>
  <c r="DU124" i="13"/>
  <c r="DV124" i="13"/>
  <c r="DW124" i="13"/>
  <c r="DD125" i="13"/>
  <c r="DE125" i="13"/>
  <c r="DF125" i="13"/>
  <c r="DG125" i="13"/>
  <c r="DH125" i="13"/>
  <c r="DI125" i="13"/>
  <c r="DJ125" i="13"/>
  <c r="DK125" i="13"/>
  <c r="DL125" i="13"/>
  <c r="DM125" i="13"/>
  <c r="DN125" i="13"/>
  <c r="DO125" i="13"/>
  <c r="DP125" i="13"/>
  <c r="DQ125" i="13"/>
  <c r="DR125" i="13"/>
  <c r="DS125" i="13"/>
  <c r="DT125" i="13"/>
  <c r="DU125" i="13"/>
  <c r="DV125" i="13"/>
  <c r="DW125" i="13"/>
  <c r="DD126" i="13"/>
  <c r="DE126" i="13"/>
  <c r="DF126" i="13"/>
  <c r="DG126" i="13"/>
  <c r="DH126" i="13"/>
  <c r="DI126" i="13"/>
  <c r="DJ126" i="13"/>
  <c r="DK126" i="13"/>
  <c r="DL126" i="13"/>
  <c r="DM126" i="13"/>
  <c r="DN126" i="13"/>
  <c r="DO126" i="13"/>
  <c r="DP126" i="13"/>
  <c r="DQ126" i="13"/>
  <c r="DR126" i="13"/>
  <c r="DS126" i="13"/>
  <c r="DT126" i="13"/>
  <c r="DU126" i="13"/>
  <c r="DV126" i="13"/>
  <c r="DW126" i="13"/>
  <c r="DD127" i="13"/>
  <c r="DE127" i="13"/>
  <c r="DF127" i="13"/>
  <c r="DG127" i="13"/>
  <c r="DH127" i="13"/>
  <c r="DI127" i="13"/>
  <c r="DJ127" i="13"/>
  <c r="DK127" i="13"/>
  <c r="DL127" i="13"/>
  <c r="DM127" i="13"/>
  <c r="DN127" i="13"/>
  <c r="DO127" i="13"/>
  <c r="DP127" i="13"/>
  <c r="DQ127" i="13"/>
  <c r="DR127" i="13"/>
  <c r="DS127" i="13"/>
  <c r="DT127" i="13"/>
  <c r="DU127" i="13"/>
  <c r="DV127" i="13"/>
  <c r="DW127" i="13"/>
  <c r="DD128" i="13"/>
  <c r="DE128" i="13"/>
  <c r="DF128" i="13"/>
  <c r="DG128" i="13"/>
  <c r="DH128" i="13"/>
  <c r="DI128" i="13"/>
  <c r="DJ128" i="13"/>
  <c r="DK128" i="13"/>
  <c r="DL128" i="13"/>
  <c r="DM128" i="13"/>
  <c r="DN128" i="13"/>
  <c r="DO128" i="13"/>
  <c r="DP128" i="13"/>
  <c r="DQ128" i="13"/>
  <c r="DR128" i="13"/>
  <c r="DS128" i="13"/>
  <c r="DT128" i="13"/>
  <c r="DU128" i="13"/>
  <c r="DV128" i="13"/>
  <c r="DW128" i="13"/>
  <c r="DD129" i="13"/>
  <c r="DE129" i="13"/>
  <c r="DF129" i="13"/>
  <c r="DG129" i="13"/>
  <c r="DH129" i="13"/>
  <c r="DI129" i="13"/>
  <c r="DJ129" i="13"/>
  <c r="DK129" i="13"/>
  <c r="DL129" i="13"/>
  <c r="DM129" i="13"/>
  <c r="DN129" i="13"/>
  <c r="DO129" i="13"/>
  <c r="DP129" i="13"/>
  <c r="DQ129" i="13"/>
  <c r="DR129" i="13"/>
  <c r="DS129" i="13"/>
  <c r="DT129" i="13"/>
  <c r="DU129" i="13"/>
  <c r="DV129" i="13"/>
  <c r="DW129" i="13"/>
  <c r="DD130" i="13"/>
  <c r="DE130" i="13"/>
  <c r="DF130" i="13"/>
  <c r="DG130" i="13"/>
  <c r="DH130" i="13"/>
  <c r="DI130" i="13"/>
  <c r="DJ130" i="13"/>
  <c r="DK130" i="13"/>
  <c r="DL130" i="13"/>
  <c r="DM130" i="13"/>
  <c r="DN130" i="13"/>
  <c r="DO130" i="13"/>
  <c r="DP130" i="13"/>
  <c r="DQ130" i="13"/>
  <c r="DR130" i="13"/>
  <c r="DS130" i="13"/>
  <c r="DT130" i="13"/>
  <c r="DU130" i="13"/>
  <c r="DV130" i="13"/>
  <c r="DW130" i="13"/>
  <c r="DD131" i="13"/>
  <c r="DE131" i="13"/>
  <c r="DF131" i="13"/>
  <c r="DG131" i="13"/>
  <c r="DH131" i="13"/>
  <c r="DI131" i="13"/>
  <c r="DJ131" i="13"/>
  <c r="DK131" i="13"/>
  <c r="DL131" i="13"/>
  <c r="DM131" i="13"/>
  <c r="DN131" i="13"/>
  <c r="DO131" i="13"/>
  <c r="DP131" i="13"/>
  <c r="DQ131" i="13"/>
  <c r="DR131" i="13"/>
  <c r="DS131" i="13"/>
  <c r="DT131" i="13"/>
  <c r="DU131" i="13"/>
  <c r="DV131" i="13"/>
  <c r="DW131" i="13"/>
  <c r="DD132" i="13"/>
  <c r="DE132" i="13"/>
  <c r="DF132" i="13"/>
  <c r="DG132" i="13"/>
  <c r="DH132" i="13"/>
  <c r="DI132" i="13"/>
  <c r="DJ132" i="13"/>
  <c r="DK132" i="13"/>
  <c r="DL132" i="13"/>
  <c r="DM132" i="13"/>
  <c r="DN132" i="13"/>
  <c r="DO132" i="13"/>
  <c r="DP132" i="13"/>
  <c r="DQ132" i="13"/>
  <c r="DR132" i="13"/>
  <c r="DS132" i="13"/>
  <c r="DT132" i="13"/>
  <c r="DU132" i="13"/>
  <c r="DV132" i="13"/>
  <c r="DW132" i="13"/>
  <c r="DD133" i="13"/>
  <c r="DE133" i="13"/>
  <c r="DF133" i="13"/>
  <c r="DG133" i="13"/>
  <c r="DH133" i="13"/>
  <c r="DI133" i="13"/>
  <c r="DJ133" i="13"/>
  <c r="DK133" i="13"/>
  <c r="DL133" i="13"/>
  <c r="DM133" i="13"/>
  <c r="DN133" i="13"/>
  <c r="DO133" i="13"/>
  <c r="DP133" i="13"/>
  <c r="DQ133" i="13"/>
  <c r="DR133" i="13"/>
  <c r="DS133" i="13"/>
  <c r="DT133" i="13"/>
  <c r="DU133" i="13"/>
  <c r="DV133" i="13"/>
  <c r="DW133" i="13"/>
  <c r="DD134" i="13"/>
  <c r="DE134" i="13"/>
  <c r="DF134" i="13"/>
  <c r="DG134" i="13"/>
  <c r="DH134" i="13"/>
  <c r="DI134" i="13"/>
  <c r="DJ134" i="13"/>
  <c r="DK134" i="13"/>
  <c r="DL134" i="13"/>
  <c r="DM134" i="13"/>
  <c r="DN134" i="13"/>
  <c r="DO134" i="13"/>
  <c r="DP134" i="13"/>
  <c r="DQ134" i="13"/>
  <c r="DR134" i="13"/>
  <c r="DS134" i="13"/>
  <c r="DT134" i="13"/>
  <c r="DU134" i="13"/>
  <c r="DV134" i="13"/>
  <c r="DW134" i="13"/>
  <c r="DD135" i="13"/>
  <c r="DE135" i="13"/>
  <c r="DF135" i="13"/>
  <c r="DG135" i="13"/>
  <c r="DH135" i="13"/>
  <c r="DI135" i="13"/>
  <c r="DJ135" i="13"/>
  <c r="DK135" i="13"/>
  <c r="DL135" i="13"/>
  <c r="DM135" i="13"/>
  <c r="DN135" i="13"/>
  <c r="DO135" i="13"/>
  <c r="DP135" i="13"/>
  <c r="DQ135" i="13"/>
  <c r="DR135" i="13"/>
  <c r="DS135" i="13"/>
  <c r="DT135" i="13"/>
  <c r="DU135" i="13"/>
  <c r="DV135" i="13"/>
  <c r="DW135" i="13"/>
  <c r="DD136" i="13"/>
  <c r="DE136" i="13"/>
  <c r="DF136" i="13"/>
  <c r="DG136" i="13"/>
  <c r="DH136" i="13"/>
  <c r="DI136" i="13"/>
  <c r="DJ136" i="13"/>
  <c r="DK136" i="13"/>
  <c r="DL136" i="13"/>
  <c r="DM136" i="13"/>
  <c r="DN136" i="13"/>
  <c r="DO136" i="13"/>
  <c r="DP136" i="13"/>
  <c r="DQ136" i="13"/>
  <c r="DR136" i="13"/>
  <c r="DS136" i="13"/>
  <c r="DT136" i="13"/>
  <c r="DU136" i="13"/>
  <c r="DV136" i="13"/>
  <c r="DW136" i="13"/>
  <c r="DD137" i="13"/>
  <c r="DE137" i="13"/>
  <c r="DF137" i="13"/>
  <c r="DG137" i="13"/>
  <c r="DH137" i="13"/>
  <c r="DI137" i="13"/>
  <c r="DJ137" i="13"/>
  <c r="DK137" i="13"/>
  <c r="DL137" i="13"/>
  <c r="DM137" i="13"/>
  <c r="DN137" i="13"/>
  <c r="DO137" i="13"/>
  <c r="DP137" i="13"/>
  <c r="DQ137" i="13"/>
  <c r="DR137" i="13"/>
  <c r="DS137" i="13"/>
  <c r="DT137" i="13"/>
  <c r="DU137" i="13"/>
  <c r="DV137" i="13"/>
  <c r="DW137" i="13"/>
  <c r="DW19" i="13"/>
  <c r="DV19" i="13"/>
  <c r="DU19" i="13"/>
  <c r="DT19" i="13"/>
  <c r="DS19" i="13"/>
  <c r="DR19" i="13"/>
  <c r="DQ19" i="13"/>
  <c r="DP19" i="13"/>
  <c r="DO19" i="13"/>
  <c r="DM19" i="13"/>
  <c r="DL19" i="13"/>
  <c r="DK19" i="13"/>
  <c r="DJ19" i="13"/>
  <c r="DI19" i="13"/>
  <c r="DH19" i="13"/>
  <c r="DG19" i="13"/>
  <c r="DF19" i="13"/>
  <c r="AK38" i="1"/>
  <c r="CH15" i="1"/>
  <c r="BM15" i="1"/>
  <c r="AR15" i="1"/>
  <c r="W15" i="1"/>
  <c r="B15" i="1"/>
  <c r="CH14" i="1"/>
  <c r="BM14" i="1"/>
  <c r="AR14" i="1"/>
  <c r="W14" i="1"/>
  <c r="B14" i="1"/>
  <c r="CH13" i="1"/>
  <c r="BM13" i="1"/>
  <c r="AR13" i="1"/>
  <c r="W13" i="1"/>
  <c r="B13" i="1"/>
  <c r="CH12" i="1"/>
  <c r="BM12" i="1"/>
  <c r="AR12" i="1"/>
  <c r="W12" i="1"/>
  <c r="B12" i="1"/>
  <c r="CH11" i="1"/>
  <c r="BM11" i="1"/>
  <c r="AR11" i="1"/>
  <c r="W11" i="1"/>
  <c r="B11" i="1"/>
  <c r="CH10" i="1"/>
  <c r="BM10" i="1"/>
  <c r="AR10" i="1"/>
  <c r="W10" i="1"/>
  <c r="B10" i="1"/>
  <c r="CH9" i="1"/>
  <c r="BM9" i="1"/>
  <c r="AR9" i="1"/>
  <c r="W9" i="1"/>
  <c r="B9" i="1"/>
  <c r="CH8" i="1"/>
  <c r="BM8" i="1"/>
  <c r="AR8" i="1"/>
  <c r="W8" i="1"/>
  <c r="B8" i="1"/>
  <c r="CH7" i="1"/>
  <c r="BM7" i="1"/>
  <c r="AR7" i="1"/>
  <c r="W7" i="1"/>
  <c r="B7" i="1"/>
  <c r="AG15" i="13"/>
  <c r="AG14" i="13"/>
  <c r="AG13" i="13"/>
  <c r="AG12" i="13"/>
  <c r="AG11" i="13"/>
  <c r="AG10" i="13"/>
  <c r="AG9" i="13"/>
  <c r="AG8" i="13"/>
  <c r="AG7" i="13"/>
  <c r="AM20" i="13" l="1"/>
  <c r="AM28" i="13"/>
  <c r="AM34" i="13"/>
  <c r="AM42" i="13"/>
  <c r="AM50" i="13"/>
  <c r="AM58" i="13"/>
  <c r="AM66" i="13"/>
  <c r="AM74" i="13"/>
  <c r="AM82" i="13"/>
  <c r="AM90" i="13"/>
  <c r="AM98" i="13"/>
  <c r="AM106" i="13"/>
  <c r="AM114" i="13"/>
  <c r="AM122" i="13"/>
  <c r="AM130" i="13"/>
  <c r="AM19" i="13"/>
  <c r="AM21" i="13"/>
  <c r="AM35" i="13"/>
  <c r="AM43" i="13"/>
  <c r="AM51" i="13"/>
  <c r="AM59" i="13"/>
  <c r="AM67" i="13"/>
  <c r="AM75" i="13"/>
  <c r="AM83" i="13"/>
  <c r="AM91" i="13"/>
  <c r="AM99" i="13"/>
  <c r="AM107" i="13"/>
  <c r="AM115" i="13"/>
  <c r="AM123" i="13"/>
  <c r="AM131" i="13"/>
  <c r="AM22" i="13"/>
  <c r="AM29" i="13"/>
  <c r="AM36" i="13"/>
  <c r="AM44" i="13"/>
  <c r="AM52" i="13"/>
  <c r="AM60" i="13"/>
  <c r="AM68" i="13"/>
  <c r="AM76" i="13"/>
  <c r="AM84" i="13"/>
  <c r="AM92" i="13"/>
  <c r="AM100" i="13"/>
  <c r="AM108" i="13"/>
  <c r="AM116" i="13"/>
  <c r="AM124" i="13"/>
  <c r="AM132" i="13"/>
  <c r="AM23" i="13"/>
  <c r="AM37" i="13"/>
  <c r="AM45" i="13"/>
  <c r="AM53" i="13"/>
  <c r="AM61" i="13"/>
  <c r="AM69" i="13"/>
  <c r="AM77" i="13"/>
  <c r="AM85" i="13"/>
  <c r="AM93" i="13"/>
  <c r="AM101" i="13"/>
  <c r="AM109" i="13"/>
  <c r="AM117" i="13"/>
  <c r="AM125" i="13"/>
  <c r="AM133" i="13"/>
  <c r="AM24" i="13"/>
  <c r="AM30" i="13"/>
  <c r="AM38" i="13"/>
  <c r="AM46" i="13"/>
  <c r="AM54" i="13"/>
  <c r="AM62" i="13"/>
  <c r="AM70" i="13"/>
  <c r="AM78" i="13"/>
  <c r="AM86" i="13"/>
  <c r="AM94" i="13"/>
  <c r="AM102" i="13"/>
  <c r="AM110" i="13"/>
  <c r="AM118" i="13"/>
  <c r="AM126" i="13"/>
  <c r="AM134" i="13"/>
  <c r="AM25" i="13"/>
  <c r="AM31" i="13"/>
  <c r="AM39" i="13"/>
  <c r="AM47" i="13"/>
  <c r="AM55" i="13"/>
  <c r="AM63" i="13"/>
  <c r="AM71" i="13"/>
  <c r="AM79" i="13"/>
  <c r="AM87" i="13"/>
  <c r="AM95" i="13"/>
  <c r="AM103" i="13"/>
  <c r="AM111" i="13"/>
  <c r="AM119" i="13"/>
  <c r="AM127" i="13"/>
  <c r="AM135" i="13"/>
  <c r="AM26" i="13"/>
  <c r="AM32" i="13"/>
  <c r="AM40" i="13"/>
  <c r="AM48" i="13"/>
  <c r="AM56" i="13"/>
  <c r="AM64" i="13"/>
  <c r="AM72" i="13"/>
  <c r="AM80" i="13"/>
  <c r="AM88" i="13"/>
  <c r="AM96" i="13"/>
  <c r="AM104" i="13"/>
  <c r="AM112" i="13"/>
  <c r="AM120" i="13"/>
  <c r="AM128" i="13"/>
  <c r="AM136" i="13"/>
  <c r="AM27" i="13"/>
  <c r="AM33" i="13"/>
  <c r="AM41" i="13"/>
  <c r="AM49" i="13"/>
  <c r="AM57" i="13"/>
  <c r="AM65" i="13"/>
  <c r="AM73" i="13"/>
  <c r="AM81" i="13"/>
  <c r="AM89" i="13"/>
  <c r="AM97" i="13"/>
  <c r="AM105" i="13"/>
  <c r="AM113" i="13"/>
  <c r="AM121" i="13"/>
  <c r="AM129" i="13"/>
  <c r="AI20" i="13"/>
  <c r="AK20" i="13" s="1"/>
  <c r="AI21" i="13"/>
  <c r="AK21" i="13" s="1"/>
  <c r="AI22" i="13"/>
  <c r="AK22" i="13" s="1"/>
  <c r="AI23" i="13"/>
  <c r="AK23" i="13" s="1"/>
  <c r="AI24" i="13"/>
  <c r="AK24" i="13" s="1"/>
  <c r="AI25" i="13"/>
  <c r="AK25" i="13" s="1"/>
  <c r="AI26" i="13"/>
  <c r="AK26" i="13" s="1"/>
  <c r="AI27" i="13"/>
  <c r="AK27" i="13" s="1"/>
  <c r="AI28" i="13"/>
  <c r="AK28" i="13" s="1"/>
  <c r="AI29" i="13"/>
  <c r="AK29" i="13" s="1"/>
  <c r="AI30" i="13"/>
  <c r="AK30" i="13" s="1"/>
  <c r="AI31" i="13"/>
  <c r="AK31" i="13" s="1"/>
  <c r="AI32" i="13"/>
  <c r="AK32" i="13" s="1"/>
  <c r="AI33" i="13"/>
  <c r="AK33" i="13" s="1"/>
  <c r="AI34" i="13"/>
  <c r="AK34" i="13" s="1"/>
  <c r="AI35" i="13"/>
  <c r="AK35" i="13" s="1"/>
  <c r="AI36" i="13"/>
  <c r="AK36" i="13" s="1"/>
  <c r="AI37" i="13"/>
  <c r="AK37" i="13" s="1"/>
  <c r="AI38" i="13"/>
  <c r="AK38" i="13" s="1"/>
  <c r="AI39" i="13"/>
  <c r="AK39" i="13" s="1"/>
  <c r="AI40" i="13"/>
  <c r="AK40" i="13" s="1"/>
  <c r="AI41" i="13"/>
  <c r="AK41" i="13" s="1"/>
  <c r="AI42" i="13"/>
  <c r="AK42" i="13" s="1"/>
  <c r="AI43" i="13"/>
  <c r="AK43" i="13" s="1"/>
  <c r="AI44" i="13"/>
  <c r="AK44" i="13" s="1"/>
  <c r="AI45" i="13"/>
  <c r="AK45" i="13" s="1"/>
  <c r="AI46" i="13"/>
  <c r="AK46" i="13" s="1"/>
  <c r="AI47" i="13"/>
  <c r="AK47" i="13" s="1"/>
  <c r="AI48" i="13"/>
  <c r="AK48" i="13" s="1"/>
  <c r="AI49" i="13"/>
  <c r="AK49" i="13" s="1"/>
  <c r="AI50" i="13"/>
  <c r="AK50" i="13" s="1"/>
  <c r="AI51" i="13"/>
  <c r="AK51" i="13" s="1"/>
  <c r="AI52" i="13"/>
  <c r="AK52" i="13" s="1"/>
  <c r="AI53" i="13"/>
  <c r="AK53" i="13" s="1"/>
  <c r="AI54" i="13"/>
  <c r="AK54" i="13" s="1"/>
  <c r="AI55" i="13"/>
  <c r="AK55" i="13" s="1"/>
  <c r="AI56" i="13"/>
  <c r="AK56" i="13" s="1"/>
  <c r="AI57" i="13"/>
  <c r="AK57" i="13" s="1"/>
  <c r="AI58" i="13"/>
  <c r="AK58" i="13" s="1"/>
  <c r="AI59" i="13"/>
  <c r="AK59" i="13" s="1"/>
  <c r="AI60" i="13"/>
  <c r="AK60" i="13" s="1"/>
  <c r="AI61" i="13"/>
  <c r="AK61" i="13" s="1"/>
  <c r="AI62" i="13"/>
  <c r="AK62" i="13" s="1"/>
  <c r="AI63" i="13"/>
  <c r="AK63" i="13" s="1"/>
  <c r="AI64" i="13"/>
  <c r="AK64" i="13" s="1"/>
  <c r="AI65" i="13"/>
  <c r="AK65" i="13" s="1"/>
  <c r="AI66" i="13"/>
  <c r="AK66" i="13" s="1"/>
  <c r="AI67" i="13"/>
  <c r="AK67" i="13" s="1"/>
  <c r="AI68" i="13"/>
  <c r="AK68" i="13" s="1"/>
  <c r="AI69" i="13"/>
  <c r="AK69" i="13" s="1"/>
  <c r="AI70" i="13"/>
  <c r="AK70" i="13" s="1"/>
  <c r="AI71" i="13"/>
  <c r="AK71" i="13" s="1"/>
  <c r="AI72" i="13"/>
  <c r="AK72" i="13" s="1"/>
  <c r="AI73" i="13"/>
  <c r="AK73" i="13" s="1"/>
  <c r="AI74" i="13"/>
  <c r="AK74" i="13" s="1"/>
  <c r="AI75" i="13"/>
  <c r="AK75" i="13" s="1"/>
  <c r="AI76" i="13"/>
  <c r="AK76" i="13" s="1"/>
  <c r="AI77" i="13"/>
  <c r="AK77" i="13" s="1"/>
  <c r="AI78" i="13"/>
  <c r="AK78" i="13" s="1"/>
  <c r="AI79" i="13"/>
  <c r="AK79" i="13" s="1"/>
  <c r="AI80" i="13"/>
  <c r="AK80" i="13" s="1"/>
  <c r="AI81" i="13"/>
  <c r="AK81" i="13" s="1"/>
  <c r="AI82" i="13"/>
  <c r="AK82" i="13" s="1"/>
  <c r="AI83" i="13"/>
  <c r="AK83" i="13" s="1"/>
  <c r="AI84" i="13"/>
  <c r="AK84" i="13" s="1"/>
  <c r="AI85" i="13"/>
  <c r="AK85" i="13" s="1"/>
  <c r="AI86" i="13"/>
  <c r="AK86" i="13" s="1"/>
  <c r="AI87" i="13"/>
  <c r="AK87" i="13" s="1"/>
  <c r="AI88" i="13"/>
  <c r="AK88" i="13" s="1"/>
  <c r="AI89" i="13"/>
  <c r="AK89" i="13" s="1"/>
  <c r="AI90" i="13"/>
  <c r="AK90" i="13" s="1"/>
  <c r="AI91" i="13"/>
  <c r="AK91" i="13" s="1"/>
  <c r="AI92" i="13"/>
  <c r="AK92" i="13" s="1"/>
  <c r="AI93" i="13"/>
  <c r="AK93" i="13" s="1"/>
  <c r="AI94" i="13"/>
  <c r="AK94" i="13" s="1"/>
  <c r="AI95" i="13"/>
  <c r="AK95" i="13" s="1"/>
  <c r="AI96" i="13"/>
  <c r="AK96" i="13" s="1"/>
  <c r="AI97" i="13"/>
  <c r="AK97" i="13" s="1"/>
  <c r="AI98" i="13"/>
  <c r="AK98" i="13" s="1"/>
  <c r="AI99" i="13"/>
  <c r="AK99" i="13" s="1"/>
  <c r="AI100" i="13"/>
  <c r="AK100" i="13" s="1"/>
  <c r="AI101" i="13"/>
  <c r="AK101" i="13" s="1"/>
  <c r="AI102" i="13"/>
  <c r="AK102" i="13" s="1"/>
  <c r="AI103" i="13"/>
  <c r="AK103" i="13" s="1"/>
  <c r="AI104" i="13"/>
  <c r="AK104" i="13" s="1"/>
  <c r="AI105" i="13"/>
  <c r="AK105" i="13" s="1"/>
  <c r="AI106" i="13"/>
  <c r="AK106" i="13" s="1"/>
  <c r="AI107" i="13"/>
  <c r="AK107" i="13" s="1"/>
  <c r="AI108" i="13"/>
  <c r="AK108" i="13" s="1"/>
  <c r="AI109" i="13"/>
  <c r="AK109" i="13" s="1"/>
  <c r="AI110" i="13"/>
  <c r="AK110" i="13" s="1"/>
  <c r="AI111" i="13"/>
  <c r="AK111" i="13" s="1"/>
  <c r="AI112" i="13"/>
  <c r="AK112" i="13" s="1"/>
  <c r="AI113" i="13"/>
  <c r="AK113" i="13" s="1"/>
  <c r="AI114" i="13"/>
  <c r="AK114" i="13" s="1"/>
  <c r="AI115" i="13"/>
  <c r="AK115" i="13" s="1"/>
  <c r="AI116" i="13"/>
  <c r="AK116" i="13" s="1"/>
  <c r="AI117" i="13"/>
  <c r="AK117" i="13" s="1"/>
  <c r="AI118" i="13"/>
  <c r="AK118" i="13" s="1"/>
  <c r="AI119" i="13"/>
  <c r="AK119" i="13" s="1"/>
  <c r="AI120" i="13"/>
  <c r="AK120" i="13" s="1"/>
  <c r="AI121" i="13"/>
  <c r="AK121" i="13" s="1"/>
  <c r="AI122" i="13"/>
  <c r="AK122" i="13" s="1"/>
  <c r="AI123" i="13"/>
  <c r="AK123" i="13" s="1"/>
  <c r="AI124" i="13"/>
  <c r="AK124" i="13" s="1"/>
  <c r="AI125" i="13"/>
  <c r="AK125" i="13" s="1"/>
  <c r="AI126" i="13"/>
  <c r="AK126" i="13" s="1"/>
  <c r="AI127" i="13"/>
  <c r="AK127" i="13" s="1"/>
  <c r="AI128" i="13"/>
  <c r="AK128" i="13" s="1"/>
  <c r="AI129" i="13"/>
  <c r="AK129" i="13" s="1"/>
  <c r="AI130" i="13"/>
  <c r="AK130" i="13" s="1"/>
  <c r="AI131" i="13"/>
  <c r="AK131" i="13" s="1"/>
  <c r="AI132" i="13"/>
  <c r="AK132" i="13" s="1"/>
  <c r="AI133" i="13"/>
  <c r="AK133" i="13" s="1"/>
  <c r="AI134" i="13"/>
  <c r="AK134" i="13" s="1"/>
  <c r="AI135" i="13"/>
  <c r="AK135" i="13" s="1"/>
  <c r="AI136" i="13"/>
  <c r="AK136" i="13" s="1"/>
  <c r="AI137" i="13"/>
  <c r="AK137" i="13" s="1"/>
  <c r="AI19" i="13"/>
  <c r="GY137" i="13"/>
  <c r="GW137" i="13"/>
  <c r="GU137" i="13"/>
  <c r="GQ137" i="13"/>
  <c r="GO137" i="13"/>
  <c r="GM137" i="13"/>
  <c r="GI137" i="13"/>
  <c r="GG137" i="13"/>
  <c r="GE137" i="13"/>
  <c r="GA137" i="13"/>
  <c r="FY137" i="13"/>
  <c r="FW137" i="13"/>
  <c r="FS137" i="13"/>
  <c r="FQ137" i="13"/>
  <c r="FO137" i="13"/>
  <c r="FK137" i="13"/>
  <c r="FI137" i="13"/>
  <c r="FG137" i="13"/>
  <c r="FC137" i="13"/>
  <c r="FA137" i="13"/>
  <c r="EY137" i="13"/>
  <c r="EU137" i="13"/>
  <c r="ES137" i="13"/>
  <c r="EQ137" i="13"/>
  <c r="EM137" i="13"/>
  <c r="EK137" i="13"/>
  <c r="EI137" i="13"/>
  <c r="EE137" i="13"/>
  <c r="EC137" i="13"/>
  <c r="EA137" i="13"/>
  <c r="GY136" i="13"/>
  <c r="GW136" i="13"/>
  <c r="GU136" i="13"/>
  <c r="GQ136" i="13"/>
  <c r="GO136" i="13"/>
  <c r="GM136" i="13"/>
  <c r="GI136" i="13"/>
  <c r="GG136" i="13"/>
  <c r="GE136" i="13"/>
  <c r="GA136" i="13"/>
  <c r="FY136" i="13"/>
  <c r="FW136" i="13"/>
  <c r="FS136" i="13"/>
  <c r="FQ136" i="13"/>
  <c r="FO136" i="13"/>
  <c r="FK136" i="13"/>
  <c r="FI136" i="13"/>
  <c r="FG136" i="13"/>
  <c r="FC136" i="13"/>
  <c r="FA136" i="13"/>
  <c r="EY136" i="13"/>
  <c r="EU136" i="13"/>
  <c r="ES136" i="13"/>
  <c r="EQ136" i="13"/>
  <c r="EM136" i="13"/>
  <c r="EK136" i="13"/>
  <c r="EI136" i="13"/>
  <c r="EE136" i="13"/>
  <c r="EC136" i="13"/>
  <c r="EA136" i="13"/>
  <c r="GY135" i="13"/>
  <c r="GW135" i="13"/>
  <c r="GU135" i="13"/>
  <c r="GQ135" i="13"/>
  <c r="GO135" i="13"/>
  <c r="GM135" i="13"/>
  <c r="GI135" i="13"/>
  <c r="GG135" i="13"/>
  <c r="GE135" i="13"/>
  <c r="GA135" i="13"/>
  <c r="FY135" i="13"/>
  <c r="FW135" i="13"/>
  <c r="FS135" i="13"/>
  <c r="FQ135" i="13"/>
  <c r="FO135" i="13"/>
  <c r="FK135" i="13"/>
  <c r="FI135" i="13"/>
  <c r="FG135" i="13"/>
  <c r="FC135" i="13"/>
  <c r="FA135" i="13"/>
  <c r="EY135" i="13"/>
  <c r="EU135" i="13"/>
  <c r="ES135" i="13"/>
  <c r="EQ135" i="13"/>
  <c r="EM135" i="13"/>
  <c r="EK135" i="13"/>
  <c r="EI135" i="13"/>
  <c r="EE135" i="13"/>
  <c r="EC135" i="13"/>
  <c r="EA135" i="13"/>
  <c r="GY134" i="13"/>
  <c r="GW134" i="13"/>
  <c r="GU134" i="13"/>
  <c r="GQ134" i="13"/>
  <c r="GO134" i="13"/>
  <c r="GM134" i="13"/>
  <c r="GI134" i="13"/>
  <c r="GG134" i="13"/>
  <c r="GE134" i="13"/>
  <c r="GA134" i="13"/>
  <c r="FY134" i="13"/>
  <c r="FW134" i="13"/>
  <c r="FS134" i="13"/>
  <c r="FQ134" i="13"/>
  <c r="FO134" i="13"/>
  <c r="FK134" i="13"/>
  <c r="FI134" i="13"/>
  <c r="FG134" i="13"/>
  <c r="FC134" i="13"/>
  <c r="FA134" i="13"/>
  <c r="EY134" i="13"/>
  <c r="EU134" i="13"/>
  <c r="ES134" i="13"/>
  <c r="EQ134" i="13"/>
  <c r="EM134" i="13"/>
  <c r="EK134" i="13"/>
  <c r="EI134" i="13"/>
  <c r="EE134" i="13"/>
  <c r="EC134" i="13"/>
  <c r="EA134" i="13"/>
  <c r="GY133" i="13"/>
  <c r="GW133" i="13"/>
  <c r="GU133" i="13"/>
  <c r="GQ133" i="13"/>
  <c r="GO133" i="13"/>
  <c r="GM133" i="13"/>
  <c r="GI133" i="13"/>
  <c r="GG133" i="13"/>
  <c r="GE133" i="13"/>
  <c r="GA133" i="13"/>
  <c r="FY133" i="13"/>
  <c r="FW133" i="13"/>
  <c r="FS133" i="13"/>
  <c r="FQ133" i="13"/>
  <c r="FO133" i="13"/>
  <c r="FK133" i="13"/>
  <c r="FI133" i="13"/>
  <c r="FG133" i="13"/>
  <c r="FC133" i="13"/>
  <c r="FA133" i="13"/>
  <c r="EY133" i="13"/>
  <c r="EU133" i="13"/>
  <c r="ES133" i="13"/>
  <c r="EQ133" i="13"/>
  <c r="EM133" i="13"/>
  <c r="EK133" i="13"/>
  <c r="EI133" i="13"/>
  <c r="EE133" i="13"/>
  <c r="EC133" i="13"/>
  <c r="EA133" i="13"/>
  <c r="GY132" i="13"/>
  <c r="GW132" i="13"/>
  <c r="GU132" i="13"/>
  <c r="GQ132" i="13"/>
  <c r="GO132" i="13"/>
  <c r="GM132" i="13"/>
  <c r="GI132" i="13"/>
  <c r="GG132" i="13"/>
  <c r="GE132" i="13"/>
  <c r="GA132" i="13"/>
  <c r="FY132" i="13"/>
  <c r="FW132" i="13"/>
  <c r="FS132" i="13"/>
  <c r="FQ132" i="13"/>
  <c r="FO132" i="13"/>
  <c r="FK132" i="13"/>
  <c r="FI132" i="13"/>
  <c r="FG132" i="13"/>
  <c r="FC132" i="13"/>
  <c r="FA132" i="13"/>
  <c r="EY132" i="13"/>
  <c r="EU132" i="13"/>
  <c r="ES132" i="13"/>
  <c r="EQ132" i="13"/>
  <c r="EM132" i="13"/>
  <c r="EK132" i="13"/>
  <c r="EI132" i="13"/>
  <c r="EE132" i="13"/>
  <c r="EC132" i="13"/>
  <c r="EA132" i="13"/>
  <c r="GY131" i="13"/>
  <c r="GW131" i="13"/>
  <c r="GU131" i="13"/>
  <c r="GQ131" i="13"/>
  <c r="GO131" i="13"/>
  <c r="GM131" i="13"/>
  <c r="GI131" i="13"/>
  <c r="GG131" i="13"/>
  <c r="GE131" i="13"/>
  <c r="GA131" i="13"/>
  <c r="FY131" i="13"/>
  <c r="FW131" i="13"/>
  <c r="FS131" i="13"/>
  <c r="FQ131" i="13"/>
  <c r="FO131" i="13"/>
  <c r="FK131" i="13"/>
  <c r="FI131" i="13"/>
  <c r="FG131" i="13"/>
  <c r="FC131" i="13"/>
  <c r="FA131" i="13"/>
  <c r="EY131" i="13"/>
  <c r="EU131" i="13"/>
  <c r="ES131" i="13"/>
  <c r="EQ131" i="13"/>
  <c r="EM131" i="13"/>
  <c r="EK131" i="13"/>
  <c r="EI131" i="13"/>
  <c r="EE131" i="13"/>
  <c r="EC131" i="13"/>
  <c r="EA131" i="13"/>
  <c r="GY130" i="13"/>
  <c r="GW130" i="13"/>
  <c r="GU130" i="13"/>
  <c r="GQ130" i="13"/>
  <c r="GO130" i="13"/>
  <c r="GM130" i="13"/>
  <c r="GI130" i="13"/>
  <c r="GG130" i="13"/>
  <c r="GE130" i="13"/>
  <c r="GA130" i="13"/>
  <c r="FY130" i="13"/>
  <c r="FW130" i="13"/>
  <c r="FS130" i="13"/>
  <c r="FQ130" i="13"/>
  <c r="FO130" i="13"/>
  <c r="FK130" i="13"/>
  <c r="FI130" i="13"/>
  <c r="FG130" i="13"/>
  <c r="FC130" i="13"/>
  <c r="FA130" i="13"/>
  <c r="EY130" i="13"/>
  <c r="EU130" i="13"/>
  <c r="ES130" i="13"/>
  <c r="EQ130" i="13"/>
  <c r="EM130" i="13"/>
  <c r="EK130" i="13"/>
  <c r="EI130" i="13"/>
  <c r="EE130" i="13"/>
  <c r="EC130" i="13"/>
  <c r="EA130" i="13"/>
  <c r="GY129" i="13"/>
  <c r="GW129" i="13"/>
  <c r="GU129" i="13"/>
  <c r="GQ129" i="13"/>
  <c r="GO129" i="13"/>
  <c r="GM129" i="13"/>
  <c r="GI129" i="13"/>
  <c r="GG129" i="13"/>
  <c r="GE129" i="13"/>
  <c r="GA129" i="13"/>
  <c r="FY129" i="13"/>
  <c r="FW129" i="13"/>
  <c r="FS129" i="13"/>
  <c r="FQ129" i="13"/>
  <c r="FO129" i="13"/>
  <c r="FK129" i="13"/>
  <c r="FI129" i="13"/>
  <c r="FG129" i="13"/>
  <c r="FC129" i="13"/>
  <c r="FA129" i="13"/>
  <c r="EY129" i="13"/>
  <c r="EU129" i="13"/>
  <c r="ES129" i="13"/>
  <c r="EQ129" i="13"/>
  <c r="EM129" i="13"/>
  <c r="EK129" i="13"/>
  <c r="EI129" i="13"/>
  <c r="EE129" i="13"/>
  <c r="EC129" i="13"/>
  <c r="EA129" i="13"/>
  <c r="GY128" i="13"/>
  <c r="GW128" i="13"/>
  <c r="GU128" i="13"/>
  <c r="GQ128" i="13"/>
  <c r="GO128" i="13"/>
  <c r="GM128" i="13"/>
  <c r="GI128" i="13"/>
  <c r="GG128" i="13"/>
  <c r="GE128" i="13"/>
  <c r="GA128" i="13"/>
  <c r="FY128" i="13"/>
  <c r="FW128" i="13"/>
  <c r="FS128" i="13"/>
  <c r="FQ128" i="13"/>
  <c r="FO128" i="13"/>
  <c r="FK128" i="13"/>
  <c r="FI128" i="13"/>
  <c r="FG128" i="13"/>
  <c r="FC128" i="13"/>
  <c r="FA128" i="13"/>
  <c r="EY128" i="13"/>
  <c r="EU128" i="13"/>
  <c r="ES128" i="13"/>
  <c r="EQ128" i="13"/>
  <c r="EM128" i="13"/>
  <c r="EK128" i="13"/>
  <c r="EI128" i="13"/>
  <c r="EE128" i="13"/>
  <c r="EC128" i="13"/>
  <c r="EA128" i="13"/>
  <c r="GY127" i="13"/>
  <c r="GW127" i="13"/>
  <c r="GU127" i="13"/>
  <c r="GQ127" i="13"/>
  <c r="GO127" i="13"/>
  <c r="GM127" i="13"/>
  <c r="GI127" i="13"/>
  <c r="GG127" i="13"/>
  <c r="GE127" i="13"/>
  <c r="GA127" i="13"/>
  <c r="FY127" i="13"/>
  <c r="FW127" i="13"/>
  <c r="FS127" i="13"/>
  <c r="FQ127" i="13"/>
  <c r="FO127" i="13"/>
  <c r="FK127" i="13"/>
  <c r="FI127" i="13"/>
  <c r="FG127" i="13"/>
  <c r="FC127" i="13"/>
  <c r="FA127" i="13"/>
  <c r="EY127" i="13"/>
  <c r="EU127" i="13"/>
  <c r="ES127" i="13"/>
  <c r="EQ127" i="13"/>
  <c r="EM127" i="13"/>
  <c r="EK127" i="13"/>
  <c r="EI127" i="13"/>
  <c r="EE127" i="13"/>
  <c r="EC127" i="13"/>
  <c r="EA127" i="13"/>
  <c r="GY126" i="13"/>
  <c r="GW126" i="13"/>
  <c r="GU126" i="13"/>
  <c r="GQ126" i="13"/>
  <c r="GO126" i="13"/>
  <c r="GM126" i="13"/>
  <c r="GI126" i="13"/>
  <c r="GG126" i="13"/>
  <c r="GE126" i="13"/>
  <c r="GA126" i="13"/>
  <c r="FY126" i="13"/>
  <c r="FW126" i="13"/>
  <c r="FS126" i="13"/>
  <c r="FQ126" i="13"/>
  <c r="FO126" i="13"/>
  <c r="FK126" i="13"/>
  <c r="FI126" i="13"/>
  <c r="FG126" i="13"/>
  <c r="FC126" i="13"/>
  <c r="FA126" i="13"/>
  <c r="EY126" i="13"/>
  <c r="EU126" i="13"/>
  <c r="ES126" i="13"/>
  <c r="EQ126" i="13"/>
  <c r="EM126" i="13"/>
  <c r="EK126" i="13"/>
  <c r="EI126" i="13"/>
  <c r="EE126" i="13"/>
  <c r="EC126" i="13"/>
  <c r="EA126" i="13"/>
  <c r="GY125" i="13"/>
  <c r="GW125" i="13"/>
  <c r="GU125" i="13"/>
  <c r="GQ125" i="13"/>
  <c r="GO125" i="13"/>
  <c r="GM125" i="13"/>
  <c r="GI125" i="13"/>
  <c r="GG125" i="13"/>
  <c r="GE125" i="13"/>
  <c r="GA125" i="13"/>
  <c r="FY125" i="13"/>
  <c r="FW125" i="13"/>
  <c r="FS125" i="13"/>
  <c r="FQ125" i="13"/>
  <c r="FO125" i="13"/>
  <c r="FK125" i="13"/>
  <c r="FI125" i="13"/>
  <c r="FG125" i="13"/>
  <c r="FC125" i="13"/>
  <c r="FA125" i="13"/>
  <c r="EY125" i="13"/>
  <c r="EU125" i="13"/>
  <c r="ES125" i="13"/>
  <c r="EQ125" i="13"/>
  <c r="EM125" i="13"/>
  <c r="EK125" i="13"/>
  <c r="EI125" i="13"/>
  <c r="EE125" i="13"/>
  <c r="EC125" i="13"/>
  <c r="EA125" i="13"/>
  <c r="GY124" i="13"/>
  <c r="GW124" i="13"/>
  <c r="GU124" i="13"/>
  <c r="GQ124" i="13"/>
  <c r="GO124" i="13"/>
  <c r="GM124" i="13"/>
  <c r="GI124" i="13"/>
  <c r="GG124" i="13"/>
  <c r="GE124" i="13"/>
  <c r="GA124" i="13"/>
  <c r="FY124" i="13"/>
  <c r="FW124" i="13"/>
  <c r="FS124" i="13"/>
  <c r="FQ124" i="13"/>
  <c r="FO124" i="13"/>
  <c r="FK124" i="13"/>
  <c r="FI124" i="13"/>
  <c r="FG124" i="13"/>
  <c r="FC124" i="13"/>
  <c r="FA124" i="13"/>
  <c r="EY124" i="13"/>
  <c r="EU124" i="13"/>
  <c r="ES124" i="13"/>
  <c r="EQ124" i="13"/>
  <c r="EM124" i="13"/>
  <c r="EK124" i="13"/>
  <c r="EI124" i="13"/>
  <c r="EE124" i="13"/>
  <c r="EC124" i="13"/>
  <c r="EA124" i="13"/>
  <c r="GY123" i="13"/>
  <c r="GW123" i="13"/>
  <c r="GU123" i="13"/>
  <c r="GQ123" i="13"/>
  <c r="GO123" i="13"/>
  <c r="GM123" i="13"/>
  <c r="GI123" i="13"/>
  <c r="GG123" i="13"/>
  <c r="GE123" i="13"/>
  <c r="GA123" i="13"/>
  <c r="FY123" i="13"/>
  <c r="FW123" i="13"/>
  <c r="FS123" i="13"/>
  <c r="FQ123" i="13"/>
  <c r="FO123" i="13"/>
  <c r="FK123" i="13"/>
  <c r="FI123" i="13"/>
  <c r="FG123" i="13"/>
  <c r="FC123" i="13"/>
  <c r="FA123" i="13"/>
  <c r="EY123" i="13"/>
  <c r="EU123" i="13"/>
  <c r="ES123" i="13"/>
  <c r="EQ123" i="13"/>
  <c r="EM123" i="13"/>
  <c r="EK123" i="13"/>
  <c r="EI123" i="13"/>
  <c r="EE123" i="13"/>
  <c r="EC123" i="13"/>
  <c r="EA123" i="13"/>
  <c r="GY122" i="13"/>
  <c r="GW122" i="13"/>
  <c r="GU122" i="13"/>
  <c r="GQ122" i="13"/>
  <c r="GO122" i="13"/>
  <c r="GM122" i="13"/>
  <c r="GI122" i="13"/>
  <c r="GG122" i="13"/>
  <c r="GE122" i="13"/>
  <c r="GA122" i="13"/>
  <c r="FY122" i="13"/>
  <c r="FW122" i="13"/>
  <c r="FS122" i="13"/>
  <c r="FQ122" i="13"/>
  <c r="FO122" i="13"/>
  <c r="FK122" i="13"/>
  <c r="FI122" i="13"/>
  <c r="FG122" i="13"/>
  <c r="FC122" i="13"/>
  <c r="FA122" i="13"/>
  <c r="EY122" i="13"/>
  <c r="EU122" i="13"/>
  <c r="ES122" i="13"/>
  <c r="EQ122" i="13"/>
  <c r="EM122" i="13"/>
  <c r="EK122" i="13"/>
  <c r="EI122" i="13"/>
  <c r="EE122" i="13"/>
  <c r="EC122" i="13"/>
  <c r="EA122" i="13"/>
  <c r="GY121" i="13"/>
  <c r="GW121" i="13"/>
  <c r="GU121" i="13"/>
  <c r="GQ121" i="13"/>
  <c r="GO121" i="13"/>
  <c r="GM121" i="13"/>
  <c r="GI121" i="13"/>
  <c r="GG121" i="13"/>
  <c r="GE121" i="13"/>
  <c r="GA121" i="13"/>
  <c r="FY121" i="13"/>
  <c r="FW121" i="13"/>
  <c r="FS121" i="13"/>
  <c r="FQ121" i="13"/>
  <c r="FO121" i="13"/>
  <c r="FK121" i="13"/>
  <c r="FI121" i="13"/>
  <c r="FG121" i="13"/>
  <c r="FC121" i="13"/>
  <c r="FA121" i="13"/>
  <c r="EY121" i="13"/>
  <c r="EU121" i="13"/>
  <c r="ES121" i="13"/>
  <c r="EQ121" i="13"/>
  <c r="EM121" i="13"/>
  <c r="EK121" i="13"/>
  <c r="EI121" i="13"/>
  <c r="EE121" i="13"/>
  <c r="EC121" i="13"/>
  <c r="EA121" i="13"/>
  <c r="GY120" i="13"/>
  <c r="GW120" i="13"/>
  <c r="GU120" i="13"/>
  <c r="GQ120" i="13"/>
  <c r="GO120" i="13"/>
  <c r="GM120" i="13"/>
  <c r="GI120" i="13"/>
  <c r="GG120" i="13"/>
  <c r="GE120" i="13"/>
  <c r="GA120" i="13"/>
  <c r="FY120" i="13"/>
  <c r="FW120" i="13"/>
  <c r="FS120" i="13"/>
  <c r="FQ120" i="13"/>
  <c r="FO120" i="13"/>
  <c r="FK120" i="13"/>
  <c r="FI120" i="13"/>
  <c r="FG120" i="13"/>
  <c r="FC120" i="13"/>
  <c r="FA120" i="13"/>
  <c r="EY120" i="13"/>
  <c r="EU120" i="13"/>
  <c r="ES120" i="13"/>
  <c r="EQ120" i="13"/>
  <c r="EM120" i="13"/>
  <c r="EK120" i="13"/>
  <c r="EI120" i="13"/>
  <c r="EE120" i="13"/>
  <c r="EC120" i="13"/>
  <c r="EA120" i="13"/>
  <c r="GY119" i="13"/>
  <c r="GW119" i="13"/>
  <c r="GU119" i="13"/>
  <c r="GQ119" i="13"/>
  <c r="GO119" i="13"/>
  <c r="GM119" i="13"/>
  <c r="GI119" i="13"/>
  <c r="GG119" i="13"/>
  <c r="GE119" i="13"/>
  <c r="GA119" i="13"/>
  <c r="FY119" i="13"/>
  <c r="FW119" i="13"/>
  <c r="FS119" i="13"/>
  <c r="FQ119" i="13"/>
  <c r="FO119" i="13"/>
  <c r="FK119" i="13"/>
  <c r="FI119" i="13"/>
  <c r="FG119" i="13"/>
  <c r="FC119" i="13"/>
  <c r="FA119" i="13"/>
  <c r="EY119" i="13"/>
  <c r="EU119" i="13"/>
  <c r="ES119" i="13"/>
  <c r="EQ119" i="13"/>
  <c r="EM119" i="13"/>
  <c r="EK119" i="13"/>
  <c r="EI119" i="13"/>
  <c r="EE119" i="13"/>
  <c r="EC119" i="13"/>
  <c r="EA119" i="13"/>
  <c r="GY118" i="13"/>
  <c r="GW118" i="13"/>
  <c r="GU118" i="13"/>
  <c r="GQ118" i="13"/>
  <c r="GO118" i="13"/>
  <c r="GM118" i="13"/>
  <c r="GI118" i="13"/>
  <c r="GG118" i="13"/>
  <c r="GE118" i="13"/>
  <c r="GA118" i="13"/>
  <c r="FY118" i="13"/>
  <c r="FW118" i="13"/>
  <c r="FS118" i="13"/>
  <c r="FQ118" i="13"/>
  <c r="FO118" i="13"/>
  <c r="FK118" i="13"/>
  <c r="FI118" i="13"/>
  <c r="FG118" i="13"/>
  <c r="FC118" i="13"/>
  <c r="FA118" i="13"/>
  <c r="EY118" i="13"/>
  <c r="EU118" i="13"/>
  <c r="ES118" i="13"/>
  <c r="EQ118" i="13"/>
  <c r="EM118" i="13"/>
  <c r="EK118" i="13"/>
  <c r="EI118" i="13"/>
  <c r="EE118" i="13"/>
  <c r="EC118" i="13"/>
  <c r="EA118" i="13"/>
  <c r="GY117" i="13"/>
  <c r="GW117" i="13"/>
  <c r="GU117" i="13"/>
  <c r="GQ117" i="13"/>
  <c r="GO117" i="13"/>
  <c r="GM117" i="13"/>
  <c r="GI117" i="13"/>
  <c r="GG117" i="13"/>
  <c r="GE117" i="13"/>
  <c r="GA117" i="13"/>
  <c r="FY117" i="13"/>
  <c r="FW117" i="13"/>
  <c r="FS117" i="13"/>
  <c r="FQ117" i="13"/>
  <c r="FO117" i="13"/>
  <c r="FK117" i="13"/>
  <c r="FI117" i="13"/>
  <c r="FG117" i="13"/>
  <c r="FC117" i="13"/>
  <c r="FA117" i="13"/>
  <c r="EY117" i="13"/>
  <c r="EU117" i="13"/>
  <c r="ES117" i="13"/>
  <c r="EQ117" i="13"/>
  <c r="EM117" i="13"/>
  <c r="EK117" i="13"/>
  <c r="EI117" i="13"/>
  <c r="EE117" i="13"/>
  <c r="EC117" i="13"/>
  <c r="EA117" i="13"/>
  <c r="GY116" i="13"/>
  <c r="GW116" i="13"/>
  <c r="GU116" i="13"/>
  <c r="GQ116" i="13"/>
  <c r="GO116" i="13"/>
  <c r="GM116" i="13"/>
  <c r="GI116" i="13"/>
  <c r="GG116" i="13"/>
  <c r="GE116" i="13"/>
  <c r="GA116" i="13"/>
  <c r="FY116" i="13"/>
  <c r="FW116" i="13"/>
  <c r="FS116" i="13"/>
  <c r="FQ116" i="13"/>
  <c r="FO116" i="13"/>
  <c r="FK116" i="13"/>
  <c r="FI116" i="13"/>
  <c r="FG116" i="13"/>
  <c r="FC116" i="13"/>
  <c r="FA116" i="13"/>
  <c r="EY116" i="13"/>
  <c r="EU116" i="13"/>
  <c r="ES116" i="13"/>
  <c r="EQ116" i="13"/>
  <c r="EM116" i="13"/>
  <c r="EK116" i="13"/>
  <c r="EI116" i="13"/>
  <c r="EE116" i="13"/>
  <c r="EC116" i="13"/>
  <c r="EA116" i="13"/>
  <c r="GY115" i="13"/>
  <c r="GW115" i="13"/>
  <c r="GU115" i="13"/>
  <c r="GQ115" i="13"/>
  <c r="GO115" i="13"/>
  <c r="GM115" i="13"/>
  <c r="GI115" i="13"/>
  <c r="GG115" i="13"/>
  <c r="GE115" i="13"/>
  <c r="GA115" i="13"/>
  <c r="FY115" i="13"/>
  <c r="FW115" i="13"/>
  <c r="FS115" i="13"/>
  <c r="FQ115" i="13"/>
  <c r="FO115" i="13"/>
  <c r="FK115" i="13"/>
  <c r="FI115" i="13"/>
  <c r="FG115" i="13"/>
  <c r="FC115" i="13"/>
  <c r="FA115" i="13"/>
  <c r="EY115" i="13"/>
  <c r="EU115" i="13"/>
  <c r="ES115" i="13"/>
  <c r="EQ115" i="13"/>
  <c r="EM115" i="13"/>
  <c r="EK115" i="13"/>
  <c r="EI115" i="13"/>
  <c r="EE115" i="13"/>
  <c r="EC115" i="13"/>
  <c r="EA115" i="13"/>
  <c r="GY114" i="13"/>
  <c r="GW114" i="13"/>
  <c r="GU114" i="13"/>
  <c r="GQ114" i="13"/>
  <c r="GO114" i="13"/>
  <c r="GM114" i="13"/>
  <c r="GI114" i="13"/>
  <c r="GG114" i="13"/>
  <c r="GE114" i="13"/>
  <c r="GA114" i="13"/>
  <c r="FY114" i="13"/>
  <c r="FW114" i="13"/>
  <c r="FS114" i="13"/>
  <c r="FQ114" i="13"/>
  <c r="FO114" i="13"/>
  <c r="FK114" i="13"/>
  <c r="FI114" i="13"/>
  <c r="FG114" i="13"/>
  <c r="FC114" i="13"/>
  <c r="FA114" i="13"/>
  <c r="EY114" i="13"/>
  <c r="EU114" i="13"/>
  <c r="ES114" i="13"/>
  <c r="EQ114" i="13"/>
  <c r="EM114" i="13"/>
  <c r="EK114" i="13"/>
  <c r="EI114" i="13"/>
  <c r="EE114" i="13"/>
  <c r="EC114" i="13"/>
  <c r="EA114" i="13"/>
  <c r="GY113" i="13"/>
  <c r="GW113" i="13"/>
  <c r="GU113" i="13"/>
  <c r="GQ113" i="13"/>
  <c r="GO113" i="13"/>
  <c r="GM113" i="13"/>
  <c r="GI113" i="13"/>
  <c r="GG113" i="13"/>
  <c r="GE113" i="13"/>
  <c r="GA113" i="13"/>
  <c r="FY113" i="13"/>
  <c r="FW113" i="13"/>
  <c r="FS113" i="13"/>
  <c r="FQ113" i="13"/>
  <c r="FO113" i="13"/>
  <c r="FK113" i="13"/>
  <c r="FI113" i="13"/>
  <c r="FG113" i="13"/>
  <c r="FC113" i="13"/>
  <c r="FA113" i="13"/>
  <c r="EY113" i="13"/>
  <c r="EU113" i="13"/>
  <c r="ES113" i="13"/>
  <c r="EQ113" i="13"/>
  <c r="EM113" i="13"/>
  <c r="EK113" i="13"/>
  <c r="EI113" i="13"/>
  <c r="EE113" i="13"/>
  <c r="EC113" i="13"/>
  <c r="EA113" i="13"/>
  <c r="GY112" i="13"/>
  <c r="GW112" i="13"/>
  <c r="GU112" i="13"/>
  <c r="GQ112" i="13"/>
  <c r="GO112" i="13"/>
  <c r="GM112" i="13"/>
  <c r="GI112" i="13"/>
  <c r="GG112" i="13"/>
  <c r="GE112" i="13"/>
  <c r="GA112" i="13"/>
  <c r="FY112" i="13"/>
  <c r="FW112" i="13"/>
  <c r="FS112" i="13"/>
  <c r="FQ112" i="13"/>
  <c r="FO112" i="13"/>
  <c r="FK112" i="13"/>
  <c r="FI112" i="13"/>
  <c r="FG112" i="13"/>
  <c r="FC112" i="13"/>
  <c r="FA112" i="13"/>
  <c r="EY112" i="13"/>
  <c r="EU112" i="13"/>
  <c r="ES112" i="13"/>
  <c r="EQ112" i="13"/>
  <c r="EM112" i="13"/>
  <c r="EK112" i="13"/>
  <c r="EI112" i="13"/>
  <c r="EE112" i="13"/>
  <c r="EC112" i="13"/>
  <c r="EA112" i="13"/>
  <c r="GY111" i="13"/>
  <c r="GW111" i="13"/>
  <c r="GU111" i="13"/>
  <c r="GQ111" i="13"/>
  <c r="GO111" i="13"/>
  <c r="GM111" i="13"/>
  <c r="GI111" i="13"/>
  <c r="GG111" i="13"/>
  <c r="GE111" i="13"/>
  <c r="GA111" i="13"/>
  <c r="FY111" i="13"/>
  <c r="FW111" i="13"/>
  <c r="FS111" i="13"/>
  <c r="FQ111" i="13"/>
  <c r="FO111" i="13"/>
  <c r="FK111" i="13"/>
  <c r="FI111" i="13"/>
  <c r="FG111" i="13"/>
  <c r="FC111" i="13"/>
  <c r="FA111" i="13"/>
  <c r="EY111" i="13"/>
  <c r="EU111" i="13"/>
  <c r="ES111" i="13"/>
  <c r="EQ111" i="13"/>
  <c r="EM111" i="13"/>
  <c r="EK111" i="13"/>
  <c r="EI111" i="13"/>
  <c r="EE111" i="13"/>
  <c r="EC111" i="13"/>
  <c r="EA111" i="13"/>
  <c r="GY110" i="13"/>
  <c r="GW110" i="13"/>
  <c r="GU110" i="13"/>
  <c r="GQ110" i="13"/>
  <c r="GO110" i="13"/>
  <c r="GM110" i="13"/>
  <c r="GI110" i="13"/>
  <c r="GG110" i="13"/>
  <c r="GE110" i="13"/>
  <c r="GA110" i="13"/>
  <c r="FY110" i="13"/>
  <c r="FW110" i="13"/>
  <c r="FS110" i="13"/>
  <c r="FQ110" i="13"/>
  <c r="FO110" i="13"/>
  <c r="FK110" i="13"/>
  <c r="FI110" i="13"/>
  <c r="FG110" i="13"/>
  <c r="FC110" i="13"/>
  <c r="FA110" i="13"/>
  <c r="EY110" i="13"/>
  <c r="EU110" i="13"/>
  <c r="ES110" i="13"/>
  <c r="EQ110" i="13"/>
  <c r="EM110" i="13"/>
  <c r="EK110" i="13"/>
  <c r="EI110" i="13"/>
  <c r="EE110" i="13"/>
  <c r="EC110" i="13"/>
  <c r="EA110" i="13"/>
  <c r="GY109" i="13"/>
  <c r="GW109" i="13"/>
  <c r="GU109" i="13"/>
  <c r="GQ109" i="13"/>
  <c r="GO109" i="13"/>
  <c r="GM109" i="13"/>
  <c r="GI109" i="13"/>
  <c r="GG109" i="13"/>
  <c r="GE109" i="13"/>
  <c r="GA109" i="13"/>
  <c r="FY109" i="13"/>
  <c r="FW109" i="13"/>
  <c r="FS109" i="13"/>
  <c r="FQ109" i="13"/>
  <c r="FO109" i="13"/>
  <c r="FK109" i="13"/>
  <c r="FI109" i="13"/>
  <c r="FG109" i="13"/>
  <c r="FC109" i="13"/>
  <c r="FA109" i="13"/>
  <c r="EY109" i="13"/>
  <c r="EU109" i="13"/>
  <c r="ES109" i="13"/>
  <c r="EQ109" i="13"/>
  <c r="EM109" i="13"/>
  <c r="EK109" i="13"/>
  <c r="EI109" i="13"/>
  <c r="EE109" i="13"/>
  <c r="EC109" i="13"/>
  <c r="EA109" i="13"/>
  <c r="GY108" i="13"/>
  <c r="GW108" i="13"/>
  <c r="GU108" i="13"/>
  <c r="GQ108" i="13"/>
  <c r="GO108" i="13"/>
  <c r="GM108" i="13"/>
  <c r="GI108" i="13"/>
  <c r="GG108" i="13"/>
  <c r="GE108" i="13"/>
  <c r="GA108" i="13"/>
  <c r="FY108" i="13"/>
  <c r="FW108" i="13"/>
  <c r="FS108" i="13"/>
  <c r="FQ108" i="13"/>
  <c r="FO108" i="13"/>
  <c r="FK108" i="13"/>
  <c r="FI108" i="13"/>
  <c r="FG108" i="13"/>
  <c r="FC108" i="13"/>
  <c r="FA108" i="13"/>
  <c r="EY108" i="13"/>
  <c r="EU108" i="13"/>
  <c r="ES108" i="13"/>
  <c r="EQ108" i="13"/>
  <c r="EM108" i="13"/>
  <c r="EK108" i="13"/>
  <c r="EI108" i="13"/>
  <c r="EE108" i="13"/>
  <c r="EC108" i="13"/>
  <c r="EA108" i="13"/>
  <c r="GY107" i="13"/>
  <c r="GW107" i="13"/>
  <c r="GU107" i="13"/>
  <c r="GQ107" i="13"/>
  <c r="GO107" i="13"/>
  <c r="GM107" i="13"/>
  <c r="GI107" i="13"/>
  <c r="GG107" i="13"/>
  <c r="GE107" i="13"/>
  <c r="GA107" i="13"/>
  <c r="FY107" i="13"/>
  <c r="FW107" i="13"/>
  <c r="FS107" i="13"/>
  <c r="FQ107" i="13"/>
  <c r="FO107" i="13"/>
  <c r="FK107" i="13"/>
  <c r="FI107" i="13"/>
  <c r="FG107" i="13"/>
  <c r="FC107" i="13"/>
  <c r="FA107" i="13"/>
  <c r="EY107" i="13"/>
  <c r="EU107" i="13"/>
  <c r="ES107" i="13"/>
  <c r="EQ107" i="13"/>
  <c r="EM107" i="13"/>
  <c r="EK107" i="13"/>
  <c r="EI107" i="13"/>
  <c r="EE107" i="13"/>
  <c r="EC107" i="13"/>
  <c r="EA107" i="13"/>
  <c r="GY106" i="13"/>
  <c r="GW106" i="13"/>
  <c r="GU106" i="13"/>
  <c r="GQ106" i="13"/>
  <c r="GO106" i="13"/>
  <c r="GM106" i="13"/>
  <c r="GI106" i="13"/>
  <c r="GG106" i="13"/>
  <c r="GE106" i="13"/>
  <c r="GA106" i="13"/>
  <c r="FY106" i="13"/>
  <c r="FW106" i="13"/>
  <c r="FS106" i="13"/>
  <c r="FQ106" i="13"/>
  <c r="FO106" i="13"/>
  <c r="FK106" i="13"/>
  <c r="FI106" i="13"/>
  <c r="FG106" i="13"/>
  <c r="FC106" i="13"/>
  <c r="FA106" i="13"/>
  <c r="EY106" i="13"/>
  <c r="EU106" i="13"/>
  <c r="ES106" i="13"/>
  <c r="EQ106" i="13"/>
  <c r="EM106" i="13"/>
  <c r="EK106" i="13"/>
  <c r="EI106" i="13"/>
  <c r="EE106" i="13"/>
  <c r="EC106" i="13"/>
  <c r="EA106" i="13"/>
  <c r="GY105" i="13"/>
  <c r="GW105" i="13"/>
  <c r="GU105" i="13"/>
  <c r="GQ105" i="13"/>
  <c r="GO105" i="13"/>
  <c r="GM105" i="13"/>
  <c r="GI105" i="13"/>
  <c r="GG105" i="13"/>
  <c r="GE105" i="13"/>
  <c r="GA105" i="13"/>
  <c r="FY105" i="13"/>
  <c r="FW105" i="13"/>
  <c r="FS105" i="13"/>
  <c r="FQ105" i="13"/>
  <c r="FO105" i="13"/>
  <c r="FK105" i="13"/>
  <c r="FI105" i="13"/>
  <c r="FG105" i="13"/>
  <c r="FC105" i="13"/>
  <c r="FA105" i="13"/>
  <c r="EY105" i="13"/>
  <c r="EU105" i="13"/>
  <c r="ES105" i="13"/>
  <c r="EQ105" i="13"/>
  <c r="EM105" i="13"/>
  <c r="EK105" i="13"/>
  <c r="EI105" i="13"/>
  <c r="EE105" i="13"/>
  <c r="EC105" i="13"/>
  <c r="EA105" i="13"/>
  <c r="GY104" i="13"/>
  <c r="GW104" i="13"/>
  <c r="GU104" i="13"/>
  <c r="GQ104" i="13"/>
  <c r="GO104" i="13"/>
  <c r="GM104" i="13"/>
  <c r="GI104" i="13"/>
  <c r="GG104" i="13"/>
  <c r="GE104" i="13"/>
  <c r="GA104" i="13"/>
  <c r="FY104" i="13"/>
  <c r="FW104" i="13"/>
  <c r="FS104" i="13"/>
  <c r="FQ104" i="13"/>
  <c r="FO104" i="13"/>
  <c r="FK104" i="13"/>
  <c r="FI104" i="13"/>
  <c r="FG104" i="13"/>
  <c r="FC104" i="13"/>
  <c r="FA104" i="13"/>
  <c r="EY104" i="13"/>
  <c r="EU104" i="13"/>
  <c r="ES104" i="13"/>
  <c r="EQ104" i="13"/>
  <c r="EM104" i="13"/>
  <c r="EK104" i="13"/>
  <c r="EI104" i="13"/>
  <c r="EE104" i="13"/>
  <c r="EC104" i="13"/>
  <c r="EA104" i="13"/>
  <c r="GY103" i="13"/>
  <c r="GW103" i="13"/>
  <c r="GU103" i="13"/>
  <c r="GQ103" i="13"/>
  <c r="GO103" i="13"/>
  <c r="GM103" i="13"/>
  <c r="GI103" i="13"/>
  <c r="GG103" i="13"/>
  <c r="GE103" i="13"/>
  <c r="GA103" i="13"/>
  <c r="FY103" i="13"/>
  <c r="FW103" i="13"/>
  <c r="FS103" i="13"/>
  <c r="FQ103" i="13"/>
  <c r="FO103" i="13"/>
  <c r="FK103" i="13"/>
  <c r="FI103" i="13"/>
  <c r="FG103" i="13"/>
  <c r="FC103" i="13"/>
  <c r="FA103" i="13"/>
  <c r="EY103" i="13"/>
  <c r="EU103" i="13"/>
  <c r="ES103" i="13"/>
  <c r="EQ103" i="13"/>
  <c r="EM103" i="13"/>
  <c r="EK103" i="13"/>
  <c r="EI103" i="13"/>
  <c r="EE103" i="13"/>
  <c r="EC103" i="13"/>
  <c r="EA103" i="13"/>
  <c r="GY102" i="13"/>
  <c r="GW102" i="13"/>
  <c r="GU102" i="13"/>
  <c r="GQ102" i="13"/>
  <c r="GO102" i="13"/>
  <c r="GM102" i="13"/>
  <c r="GI102" i="13"/>
  <c r="GG102" i="13"/>
  <c r="GE102" i="13"/>
  <c r="GA102" i="13"/>
  <c r="FY102" i="13"/>
  <c r="FW102" i="13"/>
  <c r="FS102" i="13"/>
  <c r="FQ102" i="13"/>
  <c r="FO102" i="13"/>
  <c r="FK102" i="13"/>
  <c r="FI102" i="13"/>
  <c r="FG102" i="13"/>
  <c r="FC102" i="13"/>
  <c r="FA102" i="13"/>
  <c r="EY102" i="13"/>
  <c r="EU102" i="13"/>
  <c r="ES102" i="13"/>
  <c r="EQ102" i="13"/>
  <c r="EM102" i="13"/>
  <c r="EK102" i="13"/>
  <c r="EI102" i="13"/>
  <c r="EE102" i="13"/>
  <c r="EC102" i="13"/>
  <c r="EA102" i="13"/>
  <c r="GY101" i="13"/>
  <c r="GW101" i="13"/>
  <c r="GU101" i="13"/>
  <c r="GQ101" i="13"/>
  <c r="GO101" i="13"/>
  <c r="GM101" i="13"/>
  <c r="GI101" i="13"/>
  <c r="GG101" i="13"/>
  <c r="GE101" i="13"/>
  <c r="GA101" i="13"/>
  <c r="FY101" i="13"/>
  <c r="FW101" i="13"/>
  <c r="FS101" i="13"/>
  <c r="FQ101" i="13"/>
  <c r="FO101" i="13"/>
  <c r="FK101" i="13"/>
  <c r="FI101" i="13"/>
  <c r="FG101" i="13"/>
  <c r="FC101" i="13"/>
  <c r="FA101" i="13"/>
  <c r="EY101" i="13"/>
  <c r="EU101" i="13"/>
  <c r="ES101" i="13"/>
  <c r="EQ101" i="13"/>
  <c r="EM101" i="13"/>
  <c r="EK101" i="13"/>
  <c r="EI101" i="13"/>
  <c r="EE101" i="13"/>
  <c r="EC101" i="13"/>
  <c r="EA101" i="13"/>
  <c r="GY100" i="13"/>
  <c r="GW100" i="13"/>
  <c r="GU100" i="13"/>
  <c r="GQ100" i="13"/>
  <c r="GO100" i="13"/>
  <c r="GM100" i="13"/>
  <c r="GI100" i="13"/>
  <c r="GG100" i="13"/>
  <c r="GE100" i="13"/>
  <c r="GA100" i="13"/>
  <c r="FY100" i="13"/>
  <c r="FW100" i="13"/>
  <c r="FS100" i="13"/>
  <c r="FQ100" i="13"/>
  <c r="FO100" i="13"/>
  <c r="FK100" i="13"/>
  <c r="FI100" i="13"/>
  <c r="FG100" i="13"/>
  <c r="FC100" i="13"/>
  <c r="FA100" i="13"/>
  <c r="EY100" i="13"/>
  <c r="EU100" i="13"/>
  <c r="ES100" i="13"/>
  <c r="EQ100" i="13"/>
  <c r="EM100" i="13"/>
  <c r="EK100" i="13"/>
  <c r="EI100" i="13"/>
  <c r="EE100" i="13"/>
  <c r="EC100" i="13"/>
  <c r="EA100" i="13"/>
  <c r="GY99" i="13"/>
  <c r="GW99" i="13"/>
  <c r="GU99" i="13"/>
  <c r="GQ99" i="13"/>
  <c r="GO99" i="13"/>
  <c r="GM99" i="13"/>
  <c r="GI99" i="13"/>
  <c r="GG99" i="13"/>
  <c r="GE99" i="13"/>
  <c r="GA99" i="13"/>
  <c r="FY99" i="13"/>
  <c r="FW99" i="13"/>
  <c r="FS99" i="13"/>
  <c r="FQ99" i="13"/>
  <c r="FO99" i="13"/>
  <c r="FK99" i="13"/>
  <c r="FI99" i="13"/>
  <c r="FG99" i="13"/>
  <c r="FC99" i="13"/>
  <c r="FA99" i="13"/>
  <c r="EY99" i="13"/>
  <c r="EU99" i="13"/>
  <c r="ES99" i="13"/>
  <c r="EQ99" i="13"/>
  <c r="EM99" i="13"/>
  <c r="EK99" i="13"/>
  <c r="EI99" i="13"/>
  <c r="EE99" i="13"/>
  <c r="EC99" i="13"/>
  <c r="EA99" i="13"/>
  <c r="GY98" i="13"/>
  <c r="GW98" i="13"/>
  <c r="GU98" i="13"/>
  <c r="GQ98" i="13"/>
  <c r="GO98" i="13"/>
  <c r="GM98" i="13"/>
  <c r="GI98" i="13"/>
  <c r="GG98" i="13"/>
  <c r="GE98" i="13"/>
  <c r="GA98" i="13"/>
  <c r="FY98" i="13"/>
  <c r="FW98" i="13"/>
  <c r="FS98" i="13"/>
  <c r="FQ98" i="13"/>
  <c r="FO98" i="13"/>
  <c r="FK98" i="13"/>
  <c r="FI98" i="13"/>
  <c r="FG98" i="13"/>
  <c r="FC98" i="13"/>
  <c r="FA98" i="13"/>
  <c r="EY98" i="13"/>
  <c r="EU98" i="13"/>
  <c r="ES98" i="13"/>
  <c r="EQ98" i="13"/>
  <c r="EM98" i="13"/>
  <c r="EK98" i="13"/>
  <c r="EI98" i="13"/>
  <c r="EE98" i="13"/>
  <c r="EC98" i="13"/>
  <c r="EA98" i="13"/>
  <c r="GY97" i="13"/>
  <c r="GW97" i="13"/>
  <c r="GU97" i="13"/>
  <c r="GQ97" i="13"/>
  <c r="GO97" i="13"/>
  <c r="GM97" i="13"/>
  <c r="GI97" i="13"/>
  <c r="GG97" i="13"/>
  <c r="GE97" i="13"/>
  <c r="GA97" i="13"/>
  <c r="FY97" i="13"/>
  <c r="FW97" i="13"/>
  <c r="FS97" i="13"/>
  <c r="FQ97" i="13"/>
  <c r="FO97" i="13"/>
  <c r="FK97" i="13"/>
  <c r="FI97" i="13"/>
  <c r="FG97" i="13"/>
  <c r="FC97" i="13"/>
  <c r="FA97" i="13"/>
  <c r="EY97" i="13"/>
  <c r="EU97" i="13"/>
  <c r="ES97" i="13"/>
  <c r="EQ97" i="13"/>
  <c r="EM97" i="13"/>
  <c r="EK97" i="13"/>
  <c r="EI97" i="13"/>
  <c r="EE97" i="13"/>
  <c r="EC97" i="13"/>
  <c r="EA97" i="13"/>
  <c r="GY96" i="13"/>
  <c r="GW96" i="13"/>
  <c r="GU96" i="13"/>
  <c r="GQ96" i="13"/>
  <c r="GO96" i="13"/>
  <c r="GM96" i="13"/>
  <c r="GI96" i="13"/>
  <c r="GG96" i="13"/>
  <c r="GE96" i="13"/>
  <c r="GA96" i="13"/>
  <c r="FY96" i="13"/>
  <c r="FW96" i="13"/>
  <c r="FS96" i="13"/>
  <c r="FQ96" i="13"/>
  <c r="FO96" i="13"/>
  <c r="FK96" i="13"/>
  <c r="FI96" i="13"/>
  <c r="FG96" i="13"/>
  <c r="FC96" i="13"/>
  <c r="FA96" i="13"/>
  <c r="EY96" i="13"/>
  <c r="EU96" i="13"/>
  <c r="ES96" i="13"/>
  <c r="EQ96" i="13"/>
  <c r="EM96" i="13"/>
  <c r="EK96" i="13"/>
  <c r="EI96" i="13"/>
  <c r="EE96" i="13"/>
  <c r="EC96" i="13"/>
  <c r="EA96" i="13"/>
  <c r="GY95" i="13"/>
  <c r="GW95" i="13"/>
  <c r="GU95" i="13"/>
  <c r="GQ95" i="13"/>
  <c r="GO95" i="13"/>
  <c r="GM95" i="13"/>
  <c r="GI95" i="13"/>
  <c r="GG95" i="13"/>
  <c r="GE95" i="13"/>
  <c r="GA95" i="13"/>
  <c r="FY95" i="13"/>
  <c r="FW95" i="13"/>
  <c r="FS95" i="13"/>
  <c r="FQ95" i="13"/>
  <c r="FO95" i="13"/>
  <c r="FK95" i="13"/>
  <c r="FI95" i="13"/>
  <c r="FG95" i="13"/>
  <c r="FC95" i="13"/>
  <c r="FA95" i="13"/>
  <c r="EY95" i="13"/>
  <c r="EU95" i="13"/>
  <c r="ES95" i="13"/>
  <c r="EQ95" i="13"/>
  <c r="EM95" i="13"/>
  <c r="EK95" i="13"/>
  <c r="EI95" i="13"/>
  <c r="EE95" i="13"/>
  <c r="EC95" i="13"/>
  <c r="EA95" i="13"/>
  <c r="GY94" i="13"/>
  <c r="GW94" i="13"/>
  <c r="GU94" i="13"/>
  <c r="GQ94" i="13"/>
  <c r="GO94" i="13"/>
  <c r="GM94" i="13"/>
  <c r="GI94" i="13"/>
  <c r="GG94" i="13"/>
  <c r="GE94" i="13"/>
  <c r="GA94" i="13"/>
  <c r="FY94" i="13"/>
  <c r="FW94" i="13"/>
  <c r="FS94" i="13"/>
  <c r="FQ94" i="13"/>
  <c r="FO94" i="13"/>
  <c r="FK94" i="13"/>
  <c r="FI94" i="13"/>
  <c r="FG94" i="13"/>
  <c r="FC94" i="13"/>
  <c r="FA94" i="13"/>
  <c r="EY94" i="13"/>
  <c r="EU94" i="13"/>
  <c r="ES94" i="13"/>
  <c r="EQ94" i="13"/>
  <c r="EM94" i="13"/>
  <c r="EK94" i="13"/>
  <c r="EI94" i="13"/>
  <c r="EE94" i="13"/>
  <c r="EC94" i="13"/>
  <c r="EA94" i="13"/>
  <c r="GY93" i="13"/>
  <c r="GW93" i="13"/>
  <c r="GU93" i="13"/>
  <c r="GQ93" i="13"/>
  <c r="GO93" i="13"/>
  <c r="GM93" i="13"/>
  <c r="GI93" i="13"/>
  <c r="GG93" i="13"/>
  <c r="GE93" i="13"/>
  <c r="GA93" i="13"/>
  <c r="FY93" i="13"/>
  <c r="FW93" i="13"/>
  <c r="FS93" i="13"/>
  <c r="FQ93" i="13"/>
  <c r="FO93" i="13"/>
  <c r="FK93" i="13"/>
  <c r="FI93" i="13"/>
  <c r="FG93" i="13"/>
  <c r="FC93" i="13"/>
  <c r="FA93" i="13"/>
  <c r="EY93" i="13"/>
  <c r="EU93" i="13"/>
  <c r="ES93" i="13"/>
  <c r="EQ93" i="13"/>
  <c r="EM93" i="13"/>
  <c r="EK93" i="13"/>
  <c r="EI93" i="13"/>
  <c r="EE93" i="13"/>
  <c r="EC93" i="13"/>
  <c r="EA93" i="13"/>
  <c r="GY92" i="13"/>
  <c r="GW92" i="13"/>
  <c r="GU92" i="13"/>
  <c r="GQ92" i="13"/>
  <c r="GO92" i="13"/>
  <c r="GM92" i="13"/>
  <c r="GI92" i="13"/>
  <c r="GG92" i="13"/>
  <c r="GE92" i="13"/>
  <c r="GA92" i="13"/>
  <c r="FY92" i="13"/>
  <c r="FW92" i="13"/>
  <c r="FS92" i="13"/>
  <c r="FQ92" i="13"/>
  <c r="FO92" i="13"/>
  <c r="FK92" i="13"/>
  <c r="FI92" i="13"/>
  <c r="FG92" i="13"/>
  <c r="FC92" i="13"/>
  <c r="FA92" i="13"/>
  <c r="EY92" i="13"/>
  <c r="EU92" i="13"/>
  <c r="ES92" i="13"/>
  <c r="EQ92" i="13"/>
  <c r="EM92" i="13"/>
  <c r="EK92" i="13"/>
  <c r="EI92" i="13"/>
  <c r="EE92" i="13"/>
  <c r="EC92" i="13"/>
  <c r="EA92" i="13"/>
  <c r="GY91" i="13"/>
  <c r="GW91" i="13"/>
  <c r="GU91" i="13"/>
  <c r="GQ91" i="13"/>
  <c r="GO91" i="13"/>
  <c r="GM91" i="13"/>
  <c r="GI91" i="13"/>
  <c r="GG91" i="13"/>
  <c r="GE91" i="13"/>
  <c r="GA91" i="13"/>
  <c r="FY91" i="13"/>
  <c r="FW91" i="13"/>
  <c r="FS91" i="13"/>
  <c r="FQ91" i="13"/>
  <c r="FO91" i="13"/>
  <c r="FK91" i="13"/>
  <c r="FI91" i="13"/>
  <c r="FG91" i="13"/>
  <c r="FC91" i="13"/>
  <c r="FA91" i="13"/>
  <c r="EY91" i="13"/>
  <c r="EU91" i="13"/>
  <c r="ES91" i="13"/>
  <c r="EQ91" i="13"/>
  <c r="EM91" i="13"/>
  <c r="EK91" i="13"/>
  <c r="EI91" i="13"/>
  <c r="EE91" i="13"/>
  <c r="EC91" i="13"/>
  <c r="EA91" i="13"/>
  <c r="GY90" i="13"/>
  <c r="GW90" i="13"/>
  <c r="GU90" i="13"/>
  <c r="GQ90" i="13"/>
  <c r="GO90" i="13"/>
  <c r="GM90" i="13"/>
  <c r="GI90" i="13"/>
  <c r="GG90" i="13"/>
  <c r="GE90" i="13"/>
  <c r="GA90" i="13"/>
  <c r="FY90" i="13"/>
  <c r="FW90" i="13"/>
  <c r="FS90" i="13"/>
  <c r="FQ90" i="13"/>
  <c r="FO90" i="13"/>
  <c r="FK90" i="13"/>
  <c r="FI90" i="13"/>
  <c r="FG90" i="13"/>
  <c r="FC90" i="13"/>
  <c r="FA90" i="13"/>
  <c r="EY90" i="13"/>
  <c r="EU90" i="13"/>
  <c r="ES90" i="13"/>
  <c r="EQ90" i="13"/>
  <c r="EM90" i="13"/>
  <c r="EK90" i="13"/>
  <c r="EI90" i="13"/>
  <c r="EE90" i="13"/>
  <c r="EC90" i="13"/>
  <c r="EA90" i="13"/>
  <c r="GY89" i="13"/>
  <c r="GW89" i="13"/>
  <c r="GU89" i="13"/>
  <c r="GQ89" i="13"/>
  <c r="GO89" i="13"/>
  <c r="GM89" i="13"/>
  <c r="GI89" i="13"/>
  <c r="GG89" i="13"/>
  <c r="GE89" i="13"/>
  <c r="GA89" i="13"/>
  <c r="FY89" i="13"/>
  <c r="FW89" i="13"/>
  <c r="FS89" i="13"/>
  <c r="FQ89" i="13"/>
  <c r="FO89" i="13"/>
  <c r="FK89" i="13"/>
  <c r="FI89" i="13"/>
  <c r="FG89" i="13"/>
  <c r="FC89" i="13"/>
  <c r="FA89" i="13"/>
  <c r="EY89" i="13"/>
  <c r="EU89" i="13"/>
  <c r="ES89" i="13"/>
  <c r="EQ89" i="13"/>
  <c r="EM89" i="13"/>
  <c r="EK89" i="13"/>
  <c r="EI89" i="13"/>
  <c r="EE89" i="13"/>
  <c r="EC89" i="13"/>
  <c r="EA89" i="13"/>
  <c r="GY88" i="13"/>
  <c r="GW88" i="13"/>
  <c r="GU88" i="13"/>
  <c r="GQ88" i="13"/>
  <c r="GO88" i="13"/>
  <c r="GM88" i="13"/>
  <c r="GI88" i="13"/>
  <c r="GG88" i="13"/>
  <c r="GE88" i="13"/>
  <c r="GA88" i="13"/>
  <c r="FY88" i="13"/>
  <c r="FW88" i="13"/>
  <c r="FS88" i="13"/>
  <c r="FQ88" i="13"/>
  <c r="FO88" i="13"/>
  <c r="FK88" i="13"/>
  <c r="FI88" i="13"/>
  <c r="FG88" i="13"/>
  <c r="FC88" i="13"/>
  <c r="FA88" i="13"/>
  <c r="EY88" i="13"/>
  <c r="EU88" i="13"/>
  <c r="ES88" i="13"/>
  <c r="EQ88" i="13"/>
  <c r="EM88" i="13"/>
  <c r="EK88" i="13"/>
  <c r="EI88" i="13"/>
  <c r="EE88" i="13"/>
  <c r="EC88" i="13"/>
  <c r="EA88" i="13"/>
  <c r="GY87" i="13"/>
  <c r="GW87" i="13"/>
  <c r="GU87" i="13"/>
  <c r="GQ87" i="13"/>
  <c r="GO87" i="13"/>
  <c r="GM87" i="13"/>
  <c r="GI87" i="13"/>
  <c r="GG87" i="13"/>
  <c r="GE87" i="13"/>
  <c r="GA87" i="13"/>
  <c r="FY87" i="13"/>
  <c r="FW87" i="13"/>
  <c r="FS87" i="13"/>
  <c r="FQ87" i="13"/>
  <c r="FO87" i="13"/>
  <c r="FK87" i="13"/>
  <c r="FI87" i="13"/>
  <c r="FG87" i="13"/>
  <c r="FC87" i="13"/>
  <c r="FA87" i="13"/>
  <c r="EY87" i="13"/>
  <c r="EU87" i="13"/>
  <c r="ES87" i="13"/>
  <c r="EQ87" i="13"/>
  <c r="EM87" i="13"/>
  <c r="EK87" i="13"/>
  <c r="EI87" i="13"/>
  <c r="EE87" i="13"/>
  <c r="EC87" i="13"/>
  <c r="EA87" i="13"/>
  <c r="GY86" i="13"/>
  <c r="GW86" i="13"/>
  <c r="GU86" i="13"/>
  <c r="GQ86" i="13"/>
  <c r="GO86" i="13"/>
  <c r="GM86" i="13"/>
  <c r="GI86" i="13"/>
  <c r="GG86" i="13"/>
  <c r="GE86" i="13"/>
  <c r="GA86" i="13"/>
  <c r="FY86" i="13"/>
  <c r="FW86" i="13"/>
  <c r="FS86" i="13"/>
  <c r="FQ86" i="13"/>
  <c r="FO86" i="13"/>
  <c r="FK86" i="13"/>
  <c r="FI86" i="13"/>
  <c r="FG86" i="13"/>
  <c r="FC86" i="13"/>
  <c r="FA86" i="13"/>
  <c r="EY86" i="13"/>
  <c r="EU86" i="13"/>
  <c r="ES86" i="13"/>
  <c r="EQ86" i="13"/>
  <c r="EM86" i="13"/>
  <c r="EK86" i="13"/>
  <c r="EI86" i="13"/>
  <c r="EE86" i="13"/>
  <c r="EC86" i="13"/>
  <c r="EA86" i="13"/>
  <c r="GY85" i="13"/>
  <c r="GW85" i="13"/>
  <c r="GU85" i="13"/>
  <c r="GQ85" i="13"/>
  <c r="GO85" i="13"/>
  <c r="GM85" i="13"/>
  <c r="GI85" i="13"/>
  <c r="GG85" i="13"/>
  <c r="GE85" i="13"/>
  <c r="GA85" i="13"/>
  <c r="FY85" i="13"/>
  <c r="FW85" i="13"/>
  <c r="FS85" i="13"/>
  <c r="FQ85" i="13"/>
  <c r="FO85" i="13"/>
  <c r="FK85" i="13"/>
  <c r="FI85" i="13"/>
  <c r="FG85" i="13"/>
  <c r="FC85" i="13"/>
  <c r="FA85" i="13"/>
  <c r="EY85" i="13"/>
  <c r="EU85" i="13"/>
  <c r="ES85" i="13"/>
  <c r="EQ85" i="13"/>
  <c r="EM85" i="13"/>
  <c r="EK85" i="13"/>
  <c r="EI85" i="13"/>
  <c r="EE85" i="13"/>
  <c r="EC85" i="13"/>
  <c r="EA85" i="13"/>
  <c r="GY84" i="13"/>
  <c r="GW84" i="13"/>
  <c r="GU84" i="13"/>
  <c r="GQ84" i="13"/>
  <c r="GO84" i="13"/>
  <c r="GM84" i="13"/>
  <c r="GI84" i="13"/>
  <c r="GG84" i="13"/>
  <c r="GE84" i="13"/>
  <c r="GA84" i="13"/>
  <c r="FY84" i="13"/>
  <c r="FW84" i="13"/>
  <c r="FS84" i="13"/>
  <c r="FQ84" i="13"/>
  <c r="FO84" i="13"/>
  <c r="FK84" i="13"/>
  <c r="FI84" i="13"/>
  <c r="FG84" i="13"/>
  <c r="FC84" i="13"/>
  <c r="FA84" i="13"/>
  <c r="EY84" i="13"/>
  <c r="EU84" i="13"/>
  <c r="ES84" i="13"/>
  <c r="EQ84" i="13"/>
  <c r="EM84" i="13"/>
  <c r="EK84" i="13"/>
  <c r="EI84" i="13"/>
  <c r="EE84" i="13"/>
  <c r="EC84" i="13"/>
  <c r="EA84" i="13"/>
  <c r="GY83" i="13"/>
  <c r="GW83" i="13"/>
  <c r="GU83" i="13"/>
  <c r="GQ83" i="13"/>
  <c r="GO83" i="13"/>
  <c r="GM83" i="13"/>
  <c r="GI83" i="13"/>
  <c r="GG83" i="13"/>
  <c r="GE83" i="13"/>
  <c r="GA83" i="13"/>
  <c r="FY83" i="13"/>
  <c r="FW83" i="13"/>
  <c r="FS83" i="13"/>
  <c r="FQ83" i="13"/>
  <c r="FO83" i="13"/>
  <c r="FK83" i="13"/>
  <c r="FI83" i="13"/>
  <c r="FG83" i="13"/>
  <c r="FC83" i="13"/>
  <c r="FA83" i="13"/>
  <c r="EY83" i="13"/>
  <c r="EU83" i="13"/>
  <c r="ES83" i="13"/>
  <c r="EQ83" i="13"/>
  <c r="EM83" i="13"/>
  <c r="EK83" i="13"/>
  <c r="EI83" i="13"/>
  <c r="EE83" i="13"/>
  <c r="EC83" i="13"/>
  <c r="EA83" i="13"/>
  <c r="GY82" i="13"/>
  <c r="GW82" i="13"/>
  <c r="GU82" i="13"/>
  <c r="GQ82" i="13"/>
  <c r="GO82" i="13"/>
  <c r="GM82" i="13"/>
  <c r="GI82" i="13"/>
  <c r="GG82" i="13"/>
  <c r="GE82" i="13"/>
  <c r="GA82" i="13"/>
  <c r="FY82" i="13"/>
  <c r="FW82" i="13"/>
  <c r="FS82" i="13"/>
  <c r="FQ82" i="13"/>
  <c r="FO82" i="13"/>
  <c r="FK82" i="13"/>
  <c r="FI82" i="13"/>
  <c r="FG82" i="13"/>
  <c r="FC82" i="13"/>
  <c r="FA82" i="13"/>
  <c r="EY82" i="13"/>
  <c r="EU82" i="13"/>
  <c r="ES82" i="13"/>
  <c r="EQ82" i="13"/>
  <c r="EM82" i="13"/>
  <c r="EK82" i="13"/>
  <c r="EI82" i="13"/>
  <c r="EE82" i="13"/>
  <c r="EC82" i="13"/>
  <c r="EA82" i="13"/>
  <c r="GY81" i="13"/>
  <c r="GW81" i="13"/>
  <c r="GU81" i="13"/>
  <c r="GQ81" i="13"/>
  <c r="GO81" i="13"/>
  <c r="GM81" i="13"/>
  <c r="GI81" i="13"/>
  <c r="GG81" i="13"/>
  <c r="GE81" i="13"/>
  <c r="GA81" i="13"/>
  <c r="FY81" i="13"/>
  <c r="FW81" i="13"/>
  <c r="FS81" i="13"/>
  <c r="FQ81" i="13"/>
  <c r="FO81" i="13"/>
  <c r="FK81" i="13"/>
  <c r="FI81" i="13"/>
  <c r="FG81" i="13"/>
  <c r="FC81" i="13"/>
  <c r="FA81" i="13"/>
  <c r="EY81" i="13"/>
  <c r="EU81" i="13"/>
  <c r="ES81" i="13"/>
  <c r="EQ81" i="13"/>
  <c r="EM81" i="13"/>
  <c r="EK81" i="13"/>
  <c r="EI81" i="13"/>
  <c r="EE81" i="13"/>
  <c r="EC81" i="13"/>
  <c r="EA81" i="13"/>
  <c r="GY80" i="13"/>
  <c r="GW80" i="13"/>
  <c r="GU80" i="13"/>
  <c r="GQ80" i="13"/>
  <c r="GO80" i="13"/>
  <c r="GM80" i="13"/>
  <c r="GI80" i="13"/>
  <c r="GG80" i="13"/>
  <c r="GE80" i="13"/>
  <c r="GA80" i="13"/>
  <c r="FY80" i="13"/>
  <c r="FW80" i="13"/>
  <c r="FS80" i="13"/>
  <c r="FQ80" i="13"/>
  <c r="FO80" i="13"/>
  <c r="FK80" i="13"/>
  <c r="FI80" i="13"/>
  <c r="FG80" i="13"/>
  <c r="FC80" i="13"/>
  <c r="FA80" i="13"/>
  <c r="EY80" i="13"/>
  <c r="EU80" i="13"/>
  <c r="ES80" i="13"/>
  <c r="EQ80" i="13"/>
  <c r="EM80" i="13"/>
  <c r="EK80" i="13"/>
  <c r="EI80" i="13"/>
  <c r="EE80" i="13"/>
  <c r="EC80" i="13"/>
  <c r="EA80" i="13"/>
  <c r="GY79" i="13"/>
  <c r="GW79" i="13"/>
  <c r="GU79" i="13"/>
  <c r="GQ79" i="13"/>
  <c r="GO79" i="13"/>
  <c r="GM79" i="13"/>
  <c r="GI79" i="13"/>
  <c r="GG79" i="13"/>
  <c r="GE79" i="13"/>
  <c r="GA79" i="13"/>
  <c r="FY79" i="13"/>
  <c r="FW79" i="13"/>
  <c r="FS79" i="13"/>
  <c r="FQ79" i="13"/>
  <c r="FO79" i="13"/>
  <c r="FK79" i="13"/>
  <c r="FI79" i="13"/>
  <c r="FG79" i="13"/>
  <c r="FC79" i="13"/>
  <c r="FA79" i="13"/>
  <c r="EY79" i="13"/>
  <c r="EU79" i="13"/>
  <c r="ES79" i="13"/>
  <c r="EQ79" i="13"/>
  <c r="EM79" i="13"/>
  <c r="EK79" i="13"/>
  <c r="EI79" i="13"/>
  <c r="EE79" i="13"/>
  <c r="EC79" i="13"/>
  <c r="EA79" i="13"/>
  <c r="GY78" i="13"/>
  <c r="GW78" i="13"/>
  <c r="GU78" i="13"/>
  <c r="GQ78" i="13"/>
  <c r="GO78" i="13"/>
  <c r="GM78" i="13"/>
  <c r="GI78" i="13"/>
  <c r="GG78" i="13"/>
  <c r="GE78" i="13"/>
  <c r="GA78" i="13"/>
  <c r="FY78" i="13"/>
  <c r="FW78" i="13"/>
  <c r="FS78" i="13"/>
  <c r="FQ78" i="13"/>
  <c r="FO78" i="13"/>
  <c r="FK78" i="13"/>
  <c r="FI78" i="13"/>
  <c r="FG78" i="13"/>
  <c r="FC78" i="13"/>
  <c r="FA78" i="13"/>
  <c r="EY78" i="13"/>
  <c r="EU78" i="13"/>
  <c r="ES78" i="13"/>
  <c r="EQ78" i="13"/>
  <c r="EM78" i="13"/>
  <c r="EK78" i="13"/>
  <c r="EI78" i="13"/>
  <c r="EE78" i="13"/>
  <c r="EC78" i="13"/>
  <c r="EA78" i="13"/>
  <c r="GY77" i="13"/>
  <c r="GW77" i="13"/>
  <c r="GU77" i="13"/>
  <c r="GQ77" i="13"/>
  <c r="GO77" i="13"/>
  <c r="GM77" i="13"/>
  <c r="GI77" i="13"/>
  <c r="GG77" i="13"/>
  <c r="GE77" i="13"/>
  <c r="GA77" i="13"/>
  <c r="FY77" i="13"/>
  <c r="FW77" i="13"/>
  <c r="FS77" i="13"/>
  <c r="FQ77" i="13"/>
  <c r="FO77" i="13"/>
  <c r="FK77" i="13"/>
  <c r="FI77" i="13"/>
  <c r="FG77" i="13"/>
  <c r="FC77" i="13"/>
  <c r="FA77" i="13"/>
  <c r="EY77" i="13"/>
  <c r="EU77" i="13"/>
  <c r="ES77" i="13"/>
  <c r="EQ77" i="13"/>
  <c r="EM77" i="13"/>
  <c r="EK77" i="13"/>
  <c r="EI77" i="13"/>
  <c r="EE77" i="13"/>
  <c r="EC77" i="13"/>
  <c r="EA77" i="13"/>
  <c r="GY76" i="13"/>
  <c r="GW76" i="13"/>
  <c r="GU76" i="13"/>
  <c r="GQ76" i="13"/>
  <c r="GO76" i="13"/>
  <c r="GM76" i="13"/>
  <c r="GI76" i="13"/>
  <c r="GG76" i="13"/>
  <c r="GE76" i="13"/>
  <c r="GA76" i="13"/>
  <c r="FY76" i="13"/>
  <c r="FW76" i="13"/>
  <c r="FS76" i="13"/>
  <c r="FQ76" i="13"/>
  <c r="FO76" i="13"/>
  <c r="FK76" i="13"/>
  <c r="FI76" i="13"/>
  <c r="FG76" i="13"/>
  <c r="FC76" i="13"/>
  <c r="FA76" i="13"/>
  <c r="EY76" i="13"/>
  <c r="EU76" i="13"/>
  <c r="ES76" i="13"/>
  <c r="EQ76" i="13"/>
  <c r="EM76" i="13"/>
  <c r="EK76" i="13"/>
  <c r="EI76" i="13"/>
  <c r="EE76" i="13"/>
  <c r="EC76" i="13"/>
  <c r="EA76" i="13"/>
  <c r="GY75" i="13"/>
  <c r="GW75" i="13"/>
  <c r="GU75" i="13"/>
  <c r="GQ75" i="13"/>
  <c r="GO75" i="13"/>
  <c r="GM75" i="13"/>
  <c r="GI75" i="13"/>
  <c r="GG75" i="13"/>
  <c r="GE75" i="13"/>
  <c r="GA75" i="13"/>
  <c r="FY75" i="13"/>
  <c r="FW75" i="13"/>
  <c r="FS75" i="13"/>
  <c r="FQ75" i="13"/>
  <c r="FO75" i="13"/>
  <c r="FK75" i="13"/>
  <c r="FI75" i="13"/>
  <c r="FG75" i="13"/>
  <c r="FC75" i="13"/>
  <c r="FA75" i="13"/>
  <c r="EY75" i="13"/>
  <c r="EU75" i="13"/>
  <c r="ES75" i="13"/>
  <c r="EQ75" i="13"/>
  <c r="EM75" i="13"/>
  <c r="EK75" i="13"/>
  <c r="EI75" i="13"/>
  <c r="EE75" i="13"/>
  <c r="EC75" i="13"/>
  <c r="EA75" i="13"/>
  <c r="GY74" i="13"/>
  <c r="GW74" i="13"/>
  <c r="GU74" i="13"/>
  <c r="GQ74" i="13"/>
  <c r="GO74" i="13"/>
  <c r="GM74" i="13"/>
  <c r="GI74" i="13"/>
  <c r="GG74" i="13"/>
  <c r="GE74" i="13"/>
  <c r="GA74" i="13"/>
  <c r="FY74" i="13"/>
  <c r="FW74" i="13"/>
  <c r="FS74" i="13"/>
  <c r="FQ74" i="13"/>
  <c r="FO74" i="13"/>
  <c r="FK74" i="13"/>
  <c r="FI74" i="13"/>
  <c r="FG74" i="13"/>
  <c r="FC74" i="13"/>
  <c r="FA74" i="13"/>
  <c r="EY74" i="13"/>
  <c r="EU74" i="13"/>
  <c r="ES74" i="13"/>
  <c r="EQ74" i="13"/>
  <c r="EM74" i="13"/>
  <c r="EK74" i="13"/>
  <c r="EI74" i="13"/>
  <c r="EE74" i="13"/>
  <c r="EC74" i="13"/>
  <c r="EA74" i="13"/>
  <c r="GY73" i="13"/>
  <c r="GW73" i="13"/>
  <c r="GU73" i="13"/>
  <c r="GQ73" i="13"/>
  <c r="GO73" i="13"/>
  <c r="GM73" i="13"/>
  <c r="GI73" i="13"/>
  <c r="GG73" i="13"/>
  <c r="GE73" i="13"/>
  <c r="GA73" i="13"/>
  <c r="FY73" i="13"/>
  <c r="FW73" i="13"/>
  <c r="FS73" i="13"/>
  <c r="FQ73" i="13"/>
  <c r="FO73" i="13"/>
  <c r="FK73" i="13"/>
  <c r="FI73" i="13"/>
  <c r="FG73" i="13"/>
  <c r="FC73" i="13"/>
  <c r="FA73" i="13"/>
  <c r="EY73" i="13"/>
  <c r="EU73" i="13"/>
  <c r="ES73" i="13"/>
  <c r="EQ73" i="13"/>
  <c r="EM73" i="13"/>
  <c r="EK73" i="13"/>
  <c r="EI73" i="13"/>
  <c r="EE73" i="13"/>
  <c r="EC73" i="13"/>
  <c r="EA73" i="13"/>
  <c r="GY72" i="13"/>
  <c r="GW72" i="13"/>
  <c r="GU72" i="13"/>
  <c r="GQ72" i="13"/>
  <c r="GO72" i="13"/>
  <c r="GM72" i="13"/>
  <c r="GI72" i="13"/>
  <c r="GG72" i="13"/>
  <c r="GE72" i="13"/>
  <c r="GA72" i="13"/>
  <c r="FY72" i="13"/>
  <c r="FW72" i="13"/>
  <c r="FS72" i="13"/>
  <c r="FQ72" i="13"/>
  <c r="FO72" i="13"/>
  <c r="FK72" i="13"/>
  <c r="FI72" i="13"/>
  <c r="FG72" i="13"/>
  <c r="FC72" i="13"/>
  <c r="FA72" i="13"/>
  <c r="EY72" i="13"/>
  <c r="EU72" i="13"/>
  <c r="ES72" i="13"/>
  <c r="EQ72" i="13"/>
  <c r="EM72" i="13"/>
  <c r="EK72" i="13"/>
  <c r="EI72" i="13"/>
  <c r="EE72" i="13"/>
  <c r="EC72" i="13"/>
  <c r="EA72" i="13"/>
  <c r="GY71" i="13"/>
  <c r="GW71" i="13"/>
  <c r="GU71" i="13"/>
  <c r="GQ71" i="13"/>
  <c r="GO71" i="13"/>
  <c r="GM71" i="13"/>
  <c r="GI71" i="13"/>
  <c r="GG71" i="13"/>
  <c r="GE71" i="13"/>
  <c r="GA71" i="13"/>
  <c r="FY71" i="13"/>
  <c r="FW71" i="13"/>
  <c r="FS71" i="13"/>
  <c r="FQ71" i="13"/>
  <c r="FO71" i="13"/>
  <c r="FK71" i="13"/>
  <c r="FI71" i="13"/>
  <c r="FG71" i="13"/>
  <c r="FC71" i="13"/>
  <c r="FA71" i="13"/>
  <c r="EY71" i="13"/>
  <c r="EU71" i="13"/>
  <c r="ES71" i="13"/>
  <c r="EQ71" i="13"/>
  <c r="EM71" i="13"/>
  <c r="EK71" i="13"/>
  <c r="EI71" i="13"/>
  <c r="EE71" i="13"/>
  <c r="EC71" i="13"/>
  <c r="EA71" i="13"/>
  <c r="GY70" i="13"/>
  <c r="GW70" i="13"/>
  <c r="GU70" i="13"/>
  <c r="GQ70" i="13"/>
  <c r="GO70" i="13"/>
  <c r="GM70" i="13"/>
  <c r="GI70" i="13"/>
  <c r="GG70" i="13"/>
  <c r="GE70" i="13"/>
  <c r="GA70" i="13"/>
  <c r="FY70" i="13"/>
  <c r="FW70" i="13"/>
  <c r="FS70" i="13"/>
  <c r="FQ70" i="13"/>
  <c r="FO70" i="13"/>
  <c r="FK70" i="13"/>
  <c r="FI70" i="13"/>
  <c r="FG70" i="13"/>
  <c r="FC70" i="13"/>
  <c r="FA70" i="13"/>
  <c r="EY70" i="13"/>
  <c r="EU70" i="13"/>
  <c r="ES70" i="13"/>
  <c r="EQ70" i="13"/>
  <c r="EM70" i="13"/>
  <c r="EK70" i="13"/>
  <c r="EI70" i="13"/>
  <c r="EE70" i="13"/>
  <c r="EC70" i="13"/>
  <c r="EA70" i="13"/>
  <c r="GY69" i="13"/>
  <c r="GW69" i="13"/>
  <c r="GU69" i="13"/>
  <c r="GQ69" i="13"/>
  <c r="GO69" i="13"/>
  <c r="GM69" i="13"/>
  <c r="GI69" i="13"/>
  <c r="GG69" i="13"/>
  <c r="GE69" i="13"/>
  <c r="GA69" i="13"/>
  <c r="FY69" i="13"/>
  <c r="FW69" i="13"/>
  <c r="FS69" i="13"/>
  <c r="FQ69" i="13"/>
  <c r="FO69" i="13"/>
  <c r="FK69" i="13"/>
  <c r="FI69" i="13"/>
  <c r="FG69" i="13"/>
  <c r="FC69" i="13"/>
  <c r="FA69" i="13"/>
  <c r="EY69" i="13"/>
  <c r="EU69" i="13"/>
  <c r="ES69" i="13"/>
  <c r="EQ69" i="13"/>
  <c r="EM69" i="13"/>
  <c r="EK69" i="13"/>
  <c r="EI69" i="13"/>
  <c r="EE69" i="13"/>
  <c r="EC69" i="13"/>
  <c r="EA69" i="13"/>
  <c r="GY68" i="13"/>
  <c r="GW68" i="13"/>
  <c r="GU68" i="13"/>
  <c r="GQ68" i="13"/>
  <c r="GO68" i="13"/>
  <c r="GM68" i="13"/>
  <c r="GI68" i="13"/>
  <c r="GG68" i="13"/>
  <c r="GE68" i="13"/>
  <c r="GA68" i="13"/>
  <c r="FY68" i="13"/>
  <c r="FW68" i="13"/>
  <c r="FS68" i="13"/>
  <c r="FQ68" i="13"/>
  <c r="FO68" i="13"/>
  <c r="FK68" i="13"/>
  <c r="FI68" i="13"/>
  <c r="FG68" i="13"/>
  <c r="FC68" i="13"/>
  <c r="FA68" i="13"/>
  <c r="EY68" i="13"/>
  <c r="EU68" i="13"/>
  <c r="ES68" i="13"/>
  <c r="EQ68" i="13"/>
  <c r="EM68" i="13"/>
  <c r="EK68" i="13"/>
  <c r="EI68" i="13"/>
  <c r="EE68" i="13"/>
  <c r="EC68" i="13"/>
  <c r="EA68" i="13"/>
  <c r="GY67" i="13"/>
  <c r="GW67" i="13"/>
  <c r="GU67" i="13"/>
  <c r="GQ67" i="13"/>
  <c r="GO67" i="13"/>
  <c r="GM67" i="13"/>
  <c r="GI67" i="13"/>
  <c r="GG67" i="13"/>
  <c r="GE67" i="13"/>
  <c r="GA67" i="13"/>
  <c r="FY67" i="13"/>
  <c r="FW67" i="13"/>
  <c r="FS67" i="13"/>
  <c r="FQ67" i="13"/>
  <c r="FO67" i="13"/>
  <c r="FK67" i="13"/>
  <c r="FI67" i="13"/>
  <c r="FG67" i="13"/>
  <c r="FC67" i="13"/>
  <c r="FA67" i="13"/>
  <c r="EY67" i="13"/>
  <c r="EU67" i="13"/>
  <c r="ES67" i="13"/>
  <c r="EQ67" i="13"/>
  <c r="EM67" i="13"/>
  <c r="EK67" i="13"/>
  <c r="EI67" i="13"/>
  <c r="EE67" i="13"/>
  <c r="EC67" i="13"/>
  <c r="EA67" i="13"/>
  <c r="GY66" i="13"/>
  <c r="GW66" i="13"/>
  <c r="GU66" i="13"/>
  <c r="GQ66" i="13"/>
  <c r="GO66" i="13"/>
  <c r="GM66" i="13"/>
  <c r="GI66" i="13"/>
  <c r="GG66" i="13"/>
  <c r="GE66" i="13"/>
  <c r="GA66" i="13"/>
  <c r="FY66" i="13"/>
  <c r="FW66" i="13"/>
  <c r="FS66" i="13"/>
  <c r="FQ66" i="13"/>
  <c r="FO66" i="13"/>
  <c r="FK66" i="13"/>
  <c r="FI66" i="13"/>
  <c r="FG66" i="13"/>
  <c r="FC66" i="13"/>
  <c r="FA66" i="13"/>
  <c r="EY66" i="13"/>
  <c r="EU66" i="13"/>
  <c r="ES66" i="13"/>
  <c r="EQ66" i="13"/>
  <c r="EM66" i="13"/>
  <c r="EK66" i="13"/>
  <c r="EI66" i="13"/>
  <c r="EE66" i="13"/>
  <c r="EC66" i="13"/>
  <c r="EA66" i="13"/>
  <c r="GY65" i="13"/>
  <c r="GW65" i="13"/>
  <c r="GU65" i="13"/>
  <c r="GQ65" i="13"/>
  <c r="GO65" i="13"/>
  <c r="GM65" i="13"/>
  <c r="GI65" i="13"/>
  <c r="GG65" i="13"/>
  <c r="GE65" i="13"/>
  <c r="GA65" i="13"/>
  <c r="FY65" i="13"/>
  <c r="FW65" i="13"/>
  <c r="FS65" i="13"/>
  <c r="FQ65" i="13"/>
  <c r="FO65" i="13"/>
  <c r="FK65" i="13"/>
  <c r="FI65" i="13"/>
  <c r="FG65" i="13"/>
  <c r="FC65" i="13"/>
  <c r="FA65" i="13"/>
  <c r="EY65" i="13"/>
  <c r="EU65" i="13"/>
  <c r="ES65" i="13"/>
  <c r="EQ65" i="13"/>
  <c r="EM65" i="13"/>
  <c r="EK65" i="13"/>
  <c r="EI65" i="13"/>
  <c r="EE65" i="13"/>
  <c r="EC65" i="13"/>
  <c r="EA65" i="13"/>
  <c r="GY64" i="13"/>
  <c r="GW64" i="13"/>
  <c r="GU64" i="13"/>
  <c r="GQ64" i="13"/>
  <c r="GO64" i="13"/>
  <c r="GM64" i="13"/>
  <c r="GI64" i="13"/>
  <c r="GG64" i="13"/>
  <c r="GE64" i="13"/>
  <c r="GA64" i="13"/>
  <c r="FY64" i="13"/>
  <c r="FW64" i="13"/>
  <c r="FS64" i="13"/>
  <c r="FQ64" i="13"/>
  <c r="FO64" i="13"/>
  <c r="FK64" i="13"/>
  <c r="FI64" i="13"/>
  <c r="FG64" i="13"/>
  <c r="FC64" i="13"/>
  <c r="FA64" i="13"/>
  <c r="EY64" i="13"/>
  <c r="EU64" i="13"/>
  <c r="ES64" i="13"/>
  <c r="EQ64" i="13"/>
  <c r="EM64" i="13"/>
  <c r="EK64" i="13"/>
  <c r="EI64" i="13"/>
  <c r="EE64" i="13"/>
  <c r="EC64" i="13"/>
  <c r="EA64" i="13"/>
  <c r="GY63" i="13"/>
  <c r="GW63" i="13"/>
  <c r="GU63" i="13"/>
  <c r="GQ63" i="13"/>
  <c r="GO63" i="13"/>
  <c r="GM63" i="13"/>
  <c r="GI63" i="13"/>
  <c r="GG63" i="13"/>
  <c r="GE63" i="13"/>
  <c r="GA63" i="13"/>
  <c r="FY63" i="13"/>
  <c r="FW63" i="13"/>
  <c r="FS63" i="13"/>
  <c r="FQ63" i="13"/>
  <c r="FO63" i="13"/>
  <c r="FK63" i="13"/>
  <c r="FI63" i="13"/>
  <c r="FG63" i="13"/>
  <c r="FC63" i="13"/>
  <c r="FA63" i="13"/>
  <c r="EY63" i="13"/>
  <c r="EU63" i="13"/>
  <c r="ES63" i="13"/>
  <c r="EQ63" i="13"/>
  <c r="EM63" i="13"/>
  <c r="EK63" i="13"/>
  <c r="EI63" i="13"/>
  <c r="EE63" i="13"/>
  <c r="EC63" i="13"/>
  <c r="EA63" i="13"/>
  <c r="GY62" i="13"/>
  <c r="GW62" i="13"/>
  <c r="GU62" i="13"/>
  <c r="GQ62" i="13"/>
  <c r="GO62" i="13"/>
  <c r="GM62" i="13"/>
  <c r="GI62" i="13"/>
  <c r="GG62" i="13"/>
  <c r="GE62" i="13"/>
  <c r="GA62" i="13"/>
  <c r="FY62" i="13"/>
  <c r="FW62" i="13"/>
  <c r="FS62" i="13"/>
  <c r="FQ62" i="13"/>
  <c r="FO62" i="13"/>
  <c r="FK62" i="13"/>
  <c r="FI62" i="13"/>
  <c r="FG62" i="13"/>
  <c r="FC62" i="13"/>
  <c r="FA62" i="13"/>
  <c r="EY62" i="13"/>
  <c r="EU62" i="13"/>
  <c r="ES62" i="13"/>
  <c r="EQ62" i="13"/>
  <c r="EM62" i="13"/>
  <c r="EK62" i="13"/>
  <c r="EI62" i="13"/>
  <c r="EE62" i="13"/>
  <c r="EC62" i="13"/>
  <c r="EA62" i="13"/>
  <c r="GY61" i="13"/>
  <c r="GW61" i="13"/>
  <c r="GU61" i="13"/>
  <c r="GQ61" i="13"/>
  <c r="GO61" i="13"/>
  <c r="GM61" i="13"/>
  <c r="GI61" i="13"/>
  <c r="GG61" i="13"/>
  <c r="GE61" i="13"/>
  <c r="GA61" i="13"/>
  <c r="FY61" i="13"/>
  <c r="FW61" i="13"/>
  <c r="FS61" i="13"/>
  <c r="FQ61" i="13"/>
  <c r="FO61" i="13"/>
  <c r="FK61" i="13"/>
  <c r="FI61" i="13"/>
  <c r="FG61" i="13"/>
  <c r="FC61" i="13"/>
  <c r="FA61" i="13"/>
  <c r="EY61" i="13"/>
  <c r="EU61" i="13"/>
  <c r="ES61" i="13"/>
  <c r="EQ61" i="13"/>
  <c r="EM61" i="13"/>
  <c r="EK61" i="13"/>
  <c r="EI61" i="13"/>
  <c r="EE61" i="13"/>
  <c r="EC61" i="13"/>
  <c r="EA61" i="13"/>
  <c r="GY60" i="13"/>
  <c r="GW60" i="13"/>
  <c r="GU60" i="13"/>
  <c r="GQ60" i="13"/>
  <c r="GO60" i="13"/>
  <c r="GM60" i="13"/>
  <c r="GI60" i="13"/>
  <c r="GG60" i="13"/>
  <c r="GE60" i="13"/>
  <c r="GA60" i="13"/>
  <c r="FY60" i="13"/>
  <c r="FW60" i="13"/>
  <c r="FS60" i="13"/>
  <c r="FQ60" i="13"/>
  <c r="FO60" i="13"/>
  <c r="FK60" i="13"/>
  <c r="FI60" i="13"/>
  <c r="FG60" i="13"/>
  <c r="FC60" i="13"/>
  <c r="FA60" i="13"/>
  <c r="EY60" i="13"/>
  <c r="EU60" i="13"/>
  <c r="ES60" i="13"/>
  <c r="EQ60" i="13"/>
  <c r="EM60" i="13"/>
  <c r="EK60" i="13"/>
  <c r="EI60" i="13"/>
  <c r="EE60" i="13"/>
  <c r="EC60" i="13"/>
  <c r="EA60" i="13"/>
  <c r="GY59" i="13"/>
  <c r="GW59" i="13"/>
  <c r="GU59" i="13"/>
  <c r="GQ59" i="13"/>
  <c r="GO59" i="13"/>
  <c r="GM59" i="13"/>
  <c r="GI59" i="13"/>
  <c r="GG59" i="13"/>
  <c r="GE59" i="13"/>
  <c r="GA59" i="13"/>
  <c r="FY59" i="13"/>
  <c r="FW59" i="13"/>
  <c r="FS59" i="13"/>
  <c r="FQ59" i="13"/>
  <c r="FO59" i="13"/>
  <c r="FK59" i="13"/>
  <c r="FI59" i="13"/>
  <c r="FG59" i="13"/>
  <c r="FC59" i="13"/>
  <c r="FA59" i="13"/>
  <c r="EY59" i="13"/>
  <c r="EU59" i="13"/>
  <c r="ES59" i="13"/>
  <c r="EQ59" i="13"/>
  <c r="EM59" i="13"/>
  <c r="EK59" i="13"/>
  <c r="EI59" i="13"/>
  <c r="EE59" i="13"/>
  <c r="EC59" i="13"/>
  <c r="EA59" i="13"/>
  <c r="GY58" i="13"/>
  <c r="GW58" i="13"/>
  <c r="GU58" i="13"/>
  <c r="GQ58" i="13"/>
  <c r="GO58" i="13"/>
  <c r="GM58" i="13"/>
  <c r="GI58" i="13"/>
  <c r="GG58" i="13"/>
  <c r="GE58" i="13"/>
  <c r="GA58" i="13"/>
  <c r="FY58" i="13"/>
  <c r="FW58" i="13"/>
  <c r="FS58" i="13"/>
  <c r="FQ58" i="13"/>
  <c r="FO58" i="13"/>
  <c r="FK58" i="13"/>
  <c r="FI58" i="13"/>
  <c r="FG58" i="13"/>
  <c r="FC58" i="13"/>
  <c r="FA58" i="13"/>
  <c r="EY58" i="13"/>
  <c r="EU58" i="13"/>
  <c r="ES58" i="13"/>
  <c r="EQ58" i="13"/>
  <c r="EM58" i="13"/>
  <c r="EK58" i="13"/>
  <c r="EI58" i="13"/>
  <c r="EE58" i="13"/>
  <c r="EC58" i="13"/>
  <c r="EA58" i="13"/>
  <c r="GY57" i="13"/>
  <c r="GW57" i="13"/>
  <c r="GU57" i="13"/>
  <c r="GQ57" i="13"/>
  <c r="GO57" i="13"/>
  <c r="GM57" i="13"/>
  <c r="GI57" i="13"/>
  <c r="GG57" i="13"/>
  <c r="GE57" i="13"/>
  <c r="GA57" i="13"/>
  <c r="FY57" i="13"/>
  <c r="FW57" i="13"/>
  <c r="FS57" i="13"/>
  <c r="FQ57" i="13"/>
  <c r="FO57" i="13"/>
  <c r="FK57" i="13"/>
  <c r="FI57" i="13"/>
  <c r="FG57" i="13"/>
  <c r="FC57" i="13"/>
  <c r="FA57" i="13"/>
  <c r="EY57" i="13"/>
  <c r="EU57" i="13"/>
  <c r="ES57" i="13"/>
  <c r="EQ57" i="13"/>
  <c r="EM57" i="13"/>
  <c r="EK57" i="13"/>
  <c r="EI57" i="13"/>
  <c r="EE57" i="13"/>
  <c r="EC57" i="13"/>
  <c r="EA57" i="13"/>
  <c r="GY56" i="13"/>
  <c r="GW56" i="13"/>
  <c r="GU56" i="13"/>
  <c r="GQ56" i="13"/>
  <c r="GO56" i="13"/>
  <c r="GM56" i="13"/>
  <c r="GI56" i="13"/>
  <c r="GG56" i="13"/>
  <c r="GE56" i="13"/>
  <c r="GA56" i="13"/>
  <c r="FY56" i="13"/>
  <c r="FW56" i="13"/>
  <c r="FS56" i="13"/>
  <c r="FQ56" i="13"/>
  <c r="FO56" i="13"/>
  <c r="FK56" i="13"/>
  <c r="FI56" i="13"/>
  <c r="FG56" i="13"/>
  <c r="FC56" i="13"/>
  <c r="FA56" i="13"/>
  <c r="EY56" i="13"/>
  <c r="EU56" i="13"/>
  <c r="ES56" i="13"/>
  <c r="EQ56" i="13"/>
  <c r="EM56" i="13"/>
  <c r="EK56" i="13"/>
  <c r="EI56" i="13"/>
  <c r="EE56" i="13"/>
  <c r="EC56" i="13"/>
  <c r="EA56" i="13"/>
  <c r="GY55" i="13"/>
  <c r="GW55" i="13"/>
  <c r="GU55" i="13"/>
  <c r="GQ55" i="13"/>
  <c r="GO55" i="13"/>
  <c r="GM55" i="13"/>
  <c r="GI55" i="13"/>
  <c r="GG55" i="13"/>
  <c r="GE55" i="13"/>
  <c r="GA55" i="13"/>
  <c r="FY55" i="13"/>
  <c r="FW55" i="13"/>
  <c r="FS55" i="13"/>
  <c r="FQ55" i="13"/>
  <c r="FO55" i="13"/>
  <c r="FK55" i="13"/>
  <c r="FI55" i="13"/>
  <c r="FG55" i="13"/>
  <c r="FC55" i="13"/>
  <c r="FA55" i="13"/>
  <c r="EY55" i="13"/>
  <c r="EU55" i="13"/>
  <c r="ES55" i="13"/>
  <c r="EQ55" i="13"/>
  <c r="EM55" i="13"/>
  <c r="EK55" i="13"/>
  <c r="EI55" i="13"/>
  <c r="EE55" i="13"/>
  <c r="EC55" i="13"/>
  <c r="EA55" i="13"/>
  <c r="GY54" i="13"/>
  <c r="GW54" i="13"/>
  <c r="GU54" i="13"/>
  <c r="GQ54" i="13"/>
  <c r="GO54" i="13"/>
  <c r="GM54" i="13"/>
  <c r="GI54" i="13"/>
  <c r="GG54" i="13"/>
  <c r="GE54" i="13"/>
  <c r="GA54" i="13"/>
  <c r="FY54" i="13"/>
  <c r="FW54" i="13"/>
  <c r="FS54" i="13"/>
  <c r="FQ54" i="13"/>
  <c r="FO54" i="13"/>
  <c r="FK54" i="13"/>
  <c r="FI54" i="13"/>
  <c r="FG54" i="13"/>
  <c r="FC54" i="13"/>
  <c r="FA54" i="13"/>
  <c r="EY54" i="13"/>
  <c r="EU54" i="13"/>
  <c r="ES54" i="13"/>
  <c r="EQ54" i="13"/>
  <c r="EM54" i="13"/>
  <c r="EK54" i="13"/>
  <c r="EI54" i="13"/>
  <c r="EE54" i="13"/>
  <c r="EC54" i="13"/>
  <c r="EA54" i="13"/>
  <c r="GY53" i="13"/>
  <c r="GW53" i="13"/>
  <c r="GU53" i="13"/>
  <c r="GQ53" i="13"/>
  <c r="GO53" i="13"/>
  <c r="GM53" i="13"/>
  <c r="GI53" i="13"/>
  <c r="GG53" i="13"/>
  <c r="GE53" i="13"/>
  <c r="GA53" i="13"/>
  <c r="FY53" i="13"/>
  <c r="FW53" i="13"/>
  <c r="FS53" i="13"/>
  <c r="FQ53" i="13"/>
  <c r="FO53" i="13"/>
  <c r="FK53" i="13"/>
  <c r="FI53" i="13"/>
  <c r="FG53" i="13"/>
  <c r="FC53" i="13"/>
  <c r="FA53" i="13"/>
  <c r="EY53" i="13"/>
  <c r="EU53" i="13"/>
  <c r="ES53" i="13"/>
  <c r="EQ53" i="13"/>
  <c r="EM53" i="13"/>
  <c r="EK53" i="13"/>
  <c r="EI53" i="13"/>
  <c r="EE53" i="13"/>
  <c r="EC53" i="13"/>
  <c r="EA53" i="13"/>
  <c r="GY52" i="13"/>
  <c r="GW52" i="13"/>
  <c r="GU52" i="13"/>
  <c r="GQ52" i="13"/>
  <c r="GO52" i="13"/>
  <c r="GM52" i="13"/>
  <c r="GI52" i="13"/>
  <c r="GG52" i="13"/>
  <c r="GE52" i="13"/>
  <c r="GA52" i="13"/>
  <c r="FY52" i="13"/>
  <c r="FW52" i="13"/>
  <c r="FS52" i="13"/>
  <c r="FQ52" i="13"/>
  <c r="FO52" i="13"/>
  <c r="FK52" i="13"/>
  <c r="FI52" i="13"/>
  <c r="FG52" i="13"/>
  <c r="FC52" i="13"/>
  <c r="FA52" i="13"/>
  <c r="EY52" i="13"/>
  <c r="EU52" i="13"/>
  <c r="ES52" i="13"/>
  <c r="EQ52" i="13"/>
  <c r="EM52" i="13"/>
  <c r="EK52" i="13"/>
  <c r="EI52" i="13"/>
  <c r="EE52" i="13"/>
  <c r="EC52" i="13"/>
  <c r="EA52" i="13"/>
  <c r="GY51" i="13"/>
  <c r="GW51" i="13"/>
  <c r="GU51" i="13"/>
  <c r="GQ51" i="13"/>
  <c r="GO51" i="13"/>
  <c r="GM51" i="13"/>
  <c r="GI51" i="13"/>
  <c r="GG51" i="13"/>
  <c r="GE51" i="13"/>
  <c r="GA51" i="13"/>
  <c r="FY51" i="13"/>
  <c r="FW51" i="13"/>
  <c r="FS51" i="13"/>
  <c r="FQ51" i="13"/>
  <c r="FO51" i="13"/>
  <c r="FK51" i="13"/>
  <c r="FI51" i="13"/>
  <c r="FG51" i="13"/>
  <c r="FC51" i="13"/>
  <c r="FA51" i="13"/>
  <c r="EY51" i="13"/>
  <c r="EU51" i="13"/>
  <c r="ES51" i="13"/>
  <c r="EQ51" i="13"/>
  <c r="EM51" i="13"/>
  <c r="EK51" i="13"/>
  <c r="EI51" i="13"/>
  <c r="EE51" i="13"/>
  <c r="EC51" i="13"/>
  <c r="EA51" i="13"/>
  <c r="GY50" i="13"/>
  <c r="GW50" i="13"/>
  <c r="GU50" i="13"/>
  <c r="GQ50" i="13"/>
  <c r="GO50" i="13"/>
  <c r="GM50" i="13"/>
  <c r="GI50" i="13"/>
  <c r="GG50" i="13"/>
  <c r="GE50" i="13"/>
  <c r="GA50" i="13"/>
  <c r="FY50" i="13"/>
  <c r="FW50" i="13"/>
  <c r="FS50" i="13"/>
  <c r="FQ50" i="13"/>
  <c r="FO50" i="13"/>
  <c r="FK50" i="13"/>
  <c r="FI50" i="13"/>
  <c r="FG50" i="13"/>
  <c r="FC50" i="13"/>
  <c r="FA50" i="13"/>
  <c r="EY50" i="13"/>
  <c r="EU50" i="13"/>
  <c r="ES50" i="13"/>
  <c r="EQ50" i="13"/>
  <c r="EM50" i="13"/>
  <c r="EK50" i="13"/>
  <c r="EI50" i="13"/>
  <c r="EE50" i="13"/>
  <c r="EC50" i="13"/>
  <c r="EA50" i="13"/>
  <c r="GY49" i="13"/>
  <c r="GW49" i="13"/>
  <c r="GU49" i="13"/>
  <c r="GQ49" i="13"/>
  <c r="GO49" i="13"/>
  <c r="GM49" i="13"/>
  <c r="GI49" i="13"/>
  <c r="GG49" i="13"/>
  <c r="GE49" i="13"/>
  <c r="GA49" i="13"/>
  <c r="FY49" i="13"/>
  <c r="FW49" i="13"/>
  <c r="FS49" i="13"/>
  <c r="FQ49" i="13"/>
  <c r="FO49" i="13"/>
  <c r="FK49" i="13"/>
  <c r="FI49" i="13"/>
  <c r="FG49" i="13"/>
  <c r="FC49" i="13"/>
  <c r="FA49" i="13"/>
  <c r="EY49" i="13"/>
  <c r="EU49" i="13"/>
  <c r="ES49" i="13"/>
  <c r="EQ49" i="13"/>
  <c r="EM49" i="13"/>
  <c r="EK49" i="13"/>
  <c r="EI49" i="13"/>
  <c r="EE49" i="13"/>
  <c r="EC49" i="13"/>
  <c r="EA49" i="13"/>
  <c r="GY48" i="13"/>
  <c r="GW48" i="13"/>
  <c r="GU48" i="13"/>
  <c r="GQ48" i="13"/>
  <c r="GO48" i="13"/>
  <c r="GM48" i="13"/>
  <c r="GI48" i="13"/>
  <c r="GG48" i="13"/>
  <c r="GE48" i="13"/>
  <c r="GA48" i="13"/>
  <c r="FY48" i="13"/>
  <c r="FW48" i="13"/>
  <c r="FS48" i="13"/>
  <c r="FQ48" i="13"/>
  <c r="FO48" i="13"/>
  <c r="FK48" i="13"/>
  <c r="FI48" i="13"/>
  <c r="FG48" i="13"/>
  <c r="FC48" i="13"/>
  <c r="FA48" i="13"/>
  <c r="EY48" i="13"/>
  <c r="EU48" i="13"/>
  <c r="ES48" i="13"/>
  <c r="EQ48" i="13"/>
  <c r="EM48" i="13"/>
  <c r="EK48" i="13"/>
  <c r="EI48" i="13"/>
  <c r="EE48" i="13"/>
  <c r="EC48" i="13"/>
  <c r="EA48" i="13"/>
  <c r="GY47" i="13"/>
  <c r="GW47" i="13"/>
  <c r="GU47" i="13"/>
  <c r="GQ47" i="13"/>
  <c r="GO47" i="13"/>
  <c r="GM47" i="13"/>
  <c r="GI47" i="13"/>
  <c r="GG47" i="13"/>
  <c r="GE47" i="13"/>
  <c r="GA47" i="13"/>
  <c r="FY47" i="13"/>
  <c r="FW47" i="13"/>
  <c r="FS47" i="13"/>
  <c r="FQ47" i="13"/>
  <c r="FO47" i="13"/>
  <c r="FK47" i="13"/>
  <c r="FI47" i="13"/>
  <c r="FG47" i="13"/>
  <c r="FC47" i="13"/>
  <c r="FA47" i="13"/>
  <c r="EY47" i="13"/>
  <c r="EU47" i="13"/>
  <c r="ES47" i="13"/>
  <c r="EQ47" i="13"/>
  <c r="EM47" i="13"/>
  <c r="EK47" i="13"/>
  <c r="EI47" i="13"/>
  <c r="EE47" i="13"/>
  <c r="EC47" i="13"/>
  <c r="EA47" i="13"/>
  <c r="GY46" i="13"/>
  <c r="GW46" i="13"/>
  <c r="GU46" i="13"/>
  <c r="GQ46" i="13"/>
  <c r="GO46" i="13"/>
  <c r="GM46" i="13"/>
  <c r="GI46" i="13"/>
  <c r="GG46" i="13"/>
  <c r="GE46" i="13"/>
  <c r="GA46" i="13"/>
  <c r="FY46" i="13"/>
  <c r="FW46" i="13"/>
  <c r="FS46" i="13"/>
  <c r="FQ46" i="13"/>
  <c r="FO46" i="13"/>
  <c r="FK46" i="13"/>
  <c r="FI46" i="13"/>
  <c r="FG46" i="13"/>
  <c r="FC46" i="13"/>
  <c r="FA46" i="13"/>
  <c r="EY46" i="13"/>
  <c r="EU46" i="13"/>
  <c r="ES46" i="13"/>
  <c r="EQ46" i="13"/>
  <c r="EM46" i="13"/>
  <c r="EK46" i="13"/>
  <c r="EI46" i="13"/>
  <c r="EE46" i="13"/>
  <c r="EC46" i="13"/>
  <c r="EA46" i="13"/>
  <c r="GY45" i="13"/>
  <c r="GW45" i="13"/>
  <c r="GU45" i="13"/>
  <c r="GQ45" i="13"/>
  <c r="GO45" i="13"/>
  <c r="GM45" i="13"/>
  <c r="GI45" i="13"/>
  <c r="GG45" i="13"/>
  <c r="GE45" i="13"/>
  <c r="GA45" i="13"/>
  <c r="FY45" i="13"/>
  <c r="FW45" i="13"/>
  <c r="FS45" i="13"/>
  <c r="FQ45" i="13"/>
  <c r="FO45" i="13"/>
  <c r="FK45" i="13"/>
  <c r="FI45" i="13"/>
  <c r="FG45" i="13"/>
  <c r="FC45" i="13"/>
  <c r="FA45" i="13"/>
  <c r="EY45" i="13"/>
  <c r="EU45" i="13"/>
  <c r="ES45" i="13"/>
  <c r="EQ45" i="13"/>
  <c r="EM45" i="13"/>
  <c r="EK45" i="13"/>
  <c r="EI45" i="13"/>
  <c r="EE45" i="13"/>
  <c r="EC45" i="13"/>
  <c r="EA45" i="13"/>
  <c r="GY44" i="13"/>
  <c r="GW44" i="13"/>
  <c r="GU44" i="13"/>
  <c r="GQ44" i="13"/>
  <c r="GO44" i="13"/>
  <c r="GM44" i="13"/>
  <c r="GI44" i="13"/>
  <c r="GG44" i="13"/>
  <c r="GE44" i="13"/>
  <c r="GA44" i="13"/>
  <c r="FY44" i="13"/>
  <c r="FW44" i="13"/>
  <c r="FS44" i="13"/>
  <c r="FQ44" i="13"/>
  <c r="FO44" i="13"/>
  <c r="FK44" i="13"/>
  <c r="FI44" i="13"/>
  <c r="FG44" i="13"/>
  <c r="FC44" i="13"/>
  <c r="FA44" i="13"/>
  <c r="EY44" i="13"/>
  <c r="EU44" i="13"/>
  <c r="ES44" i="13"/>
  <c r="EQ44" i="13"/>
  <c r="EM44" i="13"/>
  <c r="EK44" i="13"/>
  <c r="EI44" i="13"/>
  <c r="EE44" i="13"/>
  <c r="EC44" i="13"/>
  <c r="EA44" i="13"/>
  <c r="GY43" i="13"/>
  <c r="GW43" i="13"/>
  <c r="GU43" i="13"/>
  <c r="GQ43" i="13"/>
  <c r="GO43" i="13"/>
  <c r="GM43" i="13"/>
  <c r="GI43" i="13"/>
  <c r="GG43" i="13"/>
  <c r="GE43" i="13"/>
  <c r="GA43" i="13"/>
  <c r="FY43" i="13"/>
  <c r="FW43" i="13"/>
  <c r="FS43" i="13"/>
  <c r="FQ43" i="13"/>
  <c r="FO43" i="13"/>
  <c r="FK43" i="13"/>
  <c r="FI43" i="13"/>
  <c r="FG43" i="13"/>
  <c r="FC43" i="13"/>
  <c r="FA43" i="13"/>
  <c r="EY43" i="13"/>
  <c r="EU43" i="13"/>
  <c r="ES43" i="13"/>
  <c r="EQ43" i="13"/>
  <c r="EM43" i="13"/>
  <c r="EK43" i="13"/>
  <c r="EI43" i="13"/>
  <c r="EE43" i="13"/>
  <c r="EC43" i="13"/>
  <c r="EA43" i="13"/>
  <c r="GY42" i="13"/>
  <c r="GW42" i="13"/>
  <c r="GU42" i="13"/>
  <c r="GQ42" i="13"/>
  <c r="GO42" i="13"/>
  <c r="GM42" i="13"/>
  <c r="GI42" i="13"/>
  <c r="GG42" i="13"/>
  <c r="GE42" i="13"/>
  <c r="GA42" i="13"/>
  <c r="FY42" i="13"/>
  <c r="FW42" i="13"/>
  <c r="FS42" i="13"/>
  <c r="FQ42" i="13"/>
  <c r="FO42" i="13"/>
  <c r="FK42" i="13"/>
  <c r="FI42" i="13"/>
  <c r="FG42" i="13"/>
  <c r="FC42" i="13"/>
  <c r="FA42" i="13"/>
  <c r="EY42" i="13"/>
  <c r="EU42" i="13"/>
  <c r="ES42" i="13"/>
  <c r="EQ42" i="13"/>
  <c r="EM42" i="13"/>
  <c r="EK42" i="13"/>
  <c r="EI42" i="13"/>
  <c r="EE42" i="13"/>
  <c r="EC42" i="13"/>
  <c r="EA42" i="13"/>
  <c r="GY41" i="13"/>
  <c r="GW41" i="13"/>
  <c r="GU41" i="13"/>
  <c r="GQ41" i="13"/>
  <c r="GO41" i="13"/>
  <c r="GM41" i="13"/>
  <c r="GI41" i="13"/>
  <c r="GG41" i="13"/>
  <c r="GE41" i="13"/>
  <c r="GA41" i="13"/>
  <c r="FY41" i="13"/>
  <c r="FW41" i="13"/>
  <c r="FS41" i="13"/>
  <c r="FQ41" i="13"/>
  <c r="FO41" i="13"/>
  <c r="FK41" i="13"/>
  <c r="FI41" i="13"/>
  <c r="FG41" i="13"/>
  <c r="FC41" i="13"/>
  <c r="FA41" i="13"/>
  <c r="EY41" i="13"/>
  <c r="EU41" i="13"/>
  <c r="ES41" i="13"/>
  <c r="EQ41" i="13"/>
  <c r="EM41" i="13"/>
  <c r="EK41" i="13"/>
  <c r="EI41" i="13"/>
  <c r="EE41" i="13"/>
  <c r="EC41" i="13"/>
  <c r="EA41" i="13"/>
  <c r="GY40" i="13"/>
  <c r="GW40" i="13"/>
  <c r="GU40" i="13"/>
  <c r="GQ40" i="13"/>
  <c r="GO40" i="13"/>
  <c r="GM40" i="13"/>
  <c r="GI40" i="13"/>
  <c r="GG40" i="13"/>
  <c r="GE40" i="13"/>
  <c r="GA40" i="13"/>
  <c r="FY40" i="13"/>
  <c r="FW40" i="13"/>
  <c r="FS40" i="13"/>
  <c r="FQ40" i="13"/>
  <c r="FO40" i="13"/>
  <c r="FK40" i="13"/>
  <c r="FI40" i="13"/>
  <c r="FG40" i="13"/>
  <c r="FC40" i="13"/>
  <c r="FA40" i="13"/>
  <c r="EY40" i="13"/>
  <c r="EU40" i="13"/>
  <c r="ES40" i="13"/>
  <c r="EQ40" i="13"/>
  <c r="EM40" i="13"/>
  <c r="EK40" i="13"/>
  <c r="EI40" i="13"/>
  <c r="EE40" i="13"/>
  <c r="EC40" i="13"/>
  <c r="EA40" i="13"/>
  <c r="GY39" i="13"/>
  <c r="GW39" i="13"/>
  <c r="GU39" i="13"/>
  <c r="GQ39" i="13"/>
  <c r="GO39" i="13"/>
  <c r="GM39" i="13"/>
  <c r="GI39" i="13"/>
  <c r="GG39" i="13"/>
  <c r="GE39" i="13"/>
  <c r="GA39" i="13"/>
  <c r="FY39" i="13"/>
  <c r="FW39" i="13"/>
  <c r="FS39" i="13"/>
  <c r="FQ39" i="13"/>
  <c r="FO39" i="13"/>
  <c r="FK39" i="13"/>
  <c r="FI39" i="13"/>
  <c r="FG39" i="13"/>
  <c r="FC39" i="13"/>
  <c r="FA39" i="13"/>
  <c r="EY39" i="13"/>
  <c r="EU39" i="13"/>
  <c r="ES39" i="13"/>
  <c r="EQ39" i="13"/>
  <c r="EM39" i="13"/>
  <c r="EK39" i="13"/>
  <c r="EI39" i="13"/>
  <c r="EE39" i="13"/>
  <c r="EC39" i="13"/>
  <c r="EA39" i="13"/>
  <c r="GY38" i="13"/>
  <c r="GW38" i="13"/>
  <c r="GU38" i="13"/>
  <c r="GQ38" i="13"/>
  <c r="GO38" i="13"/>
  <c r="GM38" i="13"/>
  <c r="GI38" i="13"/>
  <c r="GG38" i="13"/>
  <c r="GE38" i="13"/>
  <c r="GA38" i="13"/>
  <c r="FY38" i="13"/>
  <c r="FW38" i="13"/>
  <c r="FS38" i="13"/>
  <c r="FQ38" i="13"/>
  <c r="FO38" i="13"/>
  <c r="FK38" i="13"/>
  <c r="FI38" i="13"/>
  <c r="FG38" i="13"/>
  <c r="FC38" i="13"/>
  <c r="FA38" i="13"/>
  <c r="EY38" i="13"/>
  <c r="EU38" i="13"/>
  <c r="ES38" i="13"/>
  <c r="EQ38" i="13"/>
  <c r="EM38" i="13"/>
  <c r="EK38" i="13"/>
  <c r="EI38" i="13"/>
  <c r="EE38" i="13"/>
  <c r="EC38" i="13"/>
  <c r="EA38" i="13"/>
  <c r="GY37" i="13"/>
  <c r="GW37" i="13"/>
  <c r="GU37" i="13"/>
  <c r="GQ37" i="13"/>
  <c r="GO37" i="13"/>
  <c r="GM37" i="13"/>
  <c r="GI37" i="13"/>
  <c r="GG37" i="13"/>
  <c r="GE37" i="13"/>
  <c r="GA37" i="13"/>
  <c r="FY37" i="13"/>
  <c r="FW37" i="13"/>
  <c r="FS37" i="13"/>
  <c r="FQ37" i="13"/>
  <c r="FO37" i="13"/>
  <c r="FK37" i="13"/>
  <c r="FI37" i="13"/>
  <c r="FG37" i="13"/>
  <c r="FC37" i="13"/>
  <c r="FA37" i="13"/>
  <c r="EY37" i="13"/>
  <c r="EU37" i="13"/>
  <c r="ES37" i="13"/>
  <c r="EQ37" i="13"/>
  <c r="EM37" i="13"/>
  <c r="EK37" i="13"/>
  <c r="EI37" i="13"/>
  <c r="EE37" i="13"/>
  <c r="EC37" i="13"/>
  <c r="EA37" i="13"/>
  <c r="GY36" i="13"/>
  <c r="GW36" i="13"/>
  <c r="GU36" i="13"/>
  <c r="GQ36" i="13"/>
  <c r="GO36" i="13"/>
  <c r="GM36" i="13"/>
  <c r="GI36" i="13"/>
  <c r="GG36" i="13"/>
  <c r="GE36" i="13"/>
  <c r="GA36" i="13"/>
  <c r="FY36" i="13"/>
  <c r="FW36" i="13"/>
  <c r="FS36" i="13"/>
  <c r="FQ36" i="13"/>
  <c r="FO36" i="13"/>
  <c r="FK36" i="13"/>
  <c r="FI36" i="13"/>
  <c r="FG36" i="13"/>
  <c r="FC36" i="13"/>
  <c r="FA36" i="13"/>
  <c r="EY36" i="13"/>
  <c r="EU36" i="13"/>
  <c r="ES36" i="13"/>
  <c r="EQ36" i="13"/>
  <c r="EM36" i="13"/>
  <c r="EK36" i="13"/>
  <c r="EI36" i="13"/>
  <c r="EE36" i="13"/>
  <c r="EC36" i="13"/>
  <c r="EA36" i="13"/>
  <c r="GY35" i="13"/>
  <c r="GW35" i="13"/>
  <c r="GU35" i="13"/>
  <c r="GQ35" i="13"/>
  <c r="GO35" i="13"/>
  <c r="GM35" i="13"/>
  <c r="GI35" i="13"/>
  <c r="GG35" i="13"/>
  <c r="GE35" i="13"/>
  <c r="GA35" i="13"/>
  <c r="FY35" i="13"/>
  <c r="FW35" i="13"/>
  <c r="FS35" i="13"/>
  <c r="FQ35" i="13"/>
  <c r="FO35" i="13"/>
  <c r="FK35" i="13"/>
  <c r="FI35" i="13"/>
  <c r="FG35" i="13"/>
  <c r="FC35" i="13"/>
  <c r="FA35" i="13"/>
  <c r="EY35" i="13"/>
  <c r="EU35" i="13"/>
  <c r="ES35" i="13"/>
  <c r="EQ35" i="13"/>
  <c r="EM35" i="13"/>
  <c r="EK35" i="13"/>
  <c r="EI35" i="13"/>
  <c r="EE35" i="13"/>
  <c r="EC35" i="13"/>
  <c r="EA35" i="13"/>
  <c r="GY34" i="13"/>
  <c r="GW34" i="13"/>
  <c r="GU34" i="13"/>
  <c r="GQ34" i="13"/>
  <c r="GO34" i="13"/>
  <c r="GM34" i="13"/>
  <c r="GI34" i="13"/>
  <c r="GG34" i="13"/>
  <c r="GE34" i="13"/>
  <c r="GA34" i="13"/>
  <c r="FY34" i="13"/>
  <c r="FW34" i="13"/>
  <c r="FS34" i="13"/>
  <c r="FQ34" i="13"/>
  <c r="FO34" i="13"/>
  <c r="FK34" i="13"/>
  <c r="FI34" i="13"/>
  <c r="FG34" i="13"/>
  <c r="FC34" i="13"/>
  <c r="FA34" i="13"/>
  <c r="EY34" i="13"/>
  <c r="EU34" i="13"/>
  <c r="ES34" i="13"/>
  <c r="EQ34" i="13"/>
  <c r="EM34" i="13"/>
  <c r="EK34" i="13"/>
  <c r="EI34" i="13"/>
  <c r="EE34" i="13"/>
  <c r="EC34" i="13"/>
  <c r="EA34" i="13"/>
  <c r="GY33" i="13"/>
  <c r="GW33" i="13"/>
  <c r="GU33" i="13"/>
  <c r="GQ33" i="13"/>
  <c r="GO33" i="13"/>
  <c r="GM33" i="13"/>
  <c r="GI33" i="13"/>
  <c r="GG33" i="13"/>
  <c r="GE33" i="13"/>
  <c r="GA33" i="13"/>
  <c r="FY33" i="13"/>
  <c r="FW33" i="13"/>
  <c r="FS33" i="13"/>
  <c r="FQ33" i="13"/>
  <c r="FO33" i="13"/>
  <c r="FK33" i="13"/>
  <c r="FI33" i="13"/>
  <c r="FG33" i="13"/>
  <c r="FC33" i="13"/>
  <c r="FA33" i="13"/>
  <c r="EY33" i="13"/>
  <c r="EU33" i="13"/>
  <c r="ES33" i="13"/>
  <c r="EQ33" i="13"/>
  <c r="EM33" i="13"/>
  <c r="EK33" i="13"/>
  <c r="EI33" i="13"/>
  <c r="EE33" i="13"/>
  <c r="EC33" i="13"/>
  <c r="EA33" i="13"/>
  <c r="GY32" i="13"/>
  <c r="GW32" i="13"/>
  <c r="GU32" i="13"/>
  <c r="GQ32" i="13"/>
  <c r="GO32" i="13"/>
  <c r="GM32" i="13"/>
  <c r="GI32" i="13"/>
  <c r="GG32" i="13"/>
  <c r="GE32" i="13"/>
  <c r="GA32" i="13"/>
  <c r="FY32" i="13"/>
  <c r="FW32" i="13"/>
  <c r="FS32" i="13"/>
  <c r="FQ32" i="13"/>
  <c r="FO32" i="13"/>
  <c r="FK32" i="13"/>
  <c r="FI32" i="13"/>
  <c r="FG32" i="13"/>
  <c r="FC32" i="13"/>
  <c r="FA32" i="13"/>
  <c r="EY32" i="13"/>
  <c r="EU32" i="13"/>
  <c r="ES32" i="13"/>
  <c r="EQ32" i="13"/>
  <c r="EM32" i="13"/>
  <c r="EK32" i="13"/>
  <c r="EI32" i="13"/>
  <c r="EE32" i="13"/>
  <c r="EC32" i="13"/>
  <c r="EA32" i="13"/>
  <c r="GY31" i="13"/>
  <c r="GW31" i="13"/>
  <c r="GU31" i="13"/>
  <c r="GQ31" i="13"/>
  <c r="GO31" i="13"/>
  <c r="GM31" i="13"/>
  <c r="GI31" i="13"/>
  <c r="GG31" i="13"/>
  <c r="GE31" i="13"/>
  <c r="GA31" i="13"/>
  <c r="FY31" i="13"/>
  <c r="FW31" i="13"/>
  <c r="FS31" i="13"/>
  <c r="FQ31" i="13"/>
  <c r="FO31" i="13"/>
  <c r="FK31" i="13"/>
  <c r="FI31" i="13"/>
  <c r="FG31" i="13"/>
  <c r="FC31" i="13"/>
  <c r="FA31" i="13"/>
  <c r="EY31" i="13"/>
  <c r="EU31" i="13"/>
  <c r="ES31" i="13"/>
  <c r="EQ31" i="13"/>
  <c r="EM31" i="13"/>
  <c r="EK31" i="13"/>
  <c r="EI31" i="13"/>
  <c r="EE31" i="13"/>
  <c r="EC31" i="13"/>
  <c r="EA31" i="13"/>
  <c r="GY30" i="13"/>
  <c r="GW30" i="13"/>
  <c r="GU30" i="13"/>
  <c r="GQ30" i="13"/>
  <c r="GO30" i="13"/>
  <c r="GM30" i="13"/>
  <c r="GI30" i="13"/>
  <c r="GG30" i="13"/>
  <c r="GE30" i="13"/>
  <c r="GA30" i="13"/>
  <c r="FY30" i="13"/>
  <c r="FW30" i="13"/>
  <c r="FS30" i="13"/>
  <c r="FQ30" i="13"/>
  <c r="FO30" i="13"/>
  <c r="FK30" i="13"/>
  <c r="FI30" i="13"/>
  <c r="FG30" i="13"/>
  <c r="FC30" i="13"/>
  <c r="FA30" i="13"/>
  <c r="EY30" i="13"/>
  <c r="EU30" i="13"/>
  <c r="ES30" i="13"/>
  <c r="EQ30" i="13"/>
  <c r="EM30" i="13"/>
  <c r="EK30" i="13"/>
  <c r="EI30" i="13"/>
  <c r="EE30" i="13"/>
  <c r="EC30" i="13"/>
  <c r="EA30" i="13"/>
  <c r="GY29" i="13"/>
  <c r="GW29" i="13"/>
  <c r="AK19" i="13" l="1"/>
  <c r="AK16" i="13" s="1"/>
  <c r="GW12" i="13"/>
  <c r="GY12" i="13"/>
  <c r="GU29" i="13"/>
  <c r="GU12" i="13" s="1"/>
  <c r="GQ29" i="13" l="1"/>
  <c r="GQ12" i="13" s="1"/>
  <c r="GO29" i="13"/>
  <c r="GO12" i="13" s="1"/>
  <c r="GM29" i="13" l="1"/>
  <c r="GM12" i="13" s="1"/>
  <c r="GI29" i="13" l="1"/>
  <c r="GI12" i="13" s="1"/>
  <c r="GG29" i="13"/>
  <c r="GG12" i="13" s="1"/>
  <c r="GE29" i="13" l="1"/>
  <c r="GE12" i="13" s="1"/>
  <c r="GA29" i="13" l="1"/>
  <c r="GA12" i="13" s="1"/>
  <c r="FY29" i="13"/>
  <c r="FY12" i="13" s="1"/>
  <c r="FW29" i="13" l="1"/>
  <c r="FW12" i="13" s="1"/>
  <c r="FS29" i="13" l="1"/>
  <c r="FS12" i="13" s="1"/>
  <c r="FQ29" i="13"/>
  <c r="FQ12" i="13" s="1"/>
  <c r="FO29" i="13" l="1"/>
  <c r="FO12" i="13" s="1"/>
  <c r="FK29" i="13" l="1"/>
  <c r="FK12" i="13" s="1"/>
  <c r="FI29" i="13"/>
  <c r="FI12" i="13" s="1"/>
  <c r="FG29" i="13" l="1"/>
  <c r="FG12" i="13" s="1"/>
  <c r="FC29" i="13" l="1"/>
  <c r="FC12" i="13" s="1"/>
  <c r="FA29" i="13"/>
  <c r="FA12" i="13" s="1"/>
  <c r="EY29" i="13" l="1"/>
  <c r="EY12" i="13" s="1"/>
  <c r="EU29" i="13" l="1"/>
  <c r="EU12" i="13" s="1"/>
  <c r="ES29" i="13"/>
  <c r="ES12" i="13" s="1"/>
  <c r="EQ29" i="13" l="1"/>
  <c r="EQ12" i="13" s="1"/>
  <c r="EM29" i="13" l="1"/>
  <c r="EM12" i="13" s="1"/>
  <c r="EK29" i="13"/>
  <c r="EK12" i="13" s="1"/>
  <c r="EI29" i="13" l="1"/>
  <c r="EI12" i="13" s="1"/>
  <c r="EE29" i="13" l="1"/>
  <c r="EE12" i="13" s="1"/>
  <c r="EC29" i="13"/>
  <c r="EC12" i="13" s="1"/>
  <c r="EA29" i="13" l="1"/>
  <c r="EA12" i="13" l="1"/>
  <c r="GY28" i="13"/>
  <c r="GW28" i="13"/>
  <c r="GU28" i="13"/>
  <c r="GQ28" i="13"/>
  <c r="GO28" i="13"/>
  <c r="GM28" i="13"/>
  <c r="GI28" i="13"/>
  <c r="GG28" i="13"/>
  <c r="GE28" i="13"/>
  <c r="GA28" i="13"/>
  <c r="FY28" i="13"/>
  <c r="FW28" i="13"/>
  <c r="FS28" i="13"/>
  <c r="FQ28" i="13"/>
  <c r="FO28" i="13"/>
  <c r="FK28" i="13"/>
  <c r="FI28" i="13"/>
  <c r="FG28" i="13"/>
  <c r="FC28" i="13"/>
  <c r="FA28" i="13"/>
  <c r="EY28" i="13"/>
  <c r="EU28" i="13"/>
  <c r="ES28" i="13"/>
  <c r="EQ28" i="13"/>
  <c r="EM28" i="13"/>
  <c r="EK28" i="13"/>
  <c r="EI28" i="13"/>
  <c r="EE28" i="13"/>
  <c r="EC28" i="13"/>
  <c r="EA28" i="13"/>
  <c r="GY27" i="13"/>
  <c r="GW27" i="13"/>
  <c r="GU27" i="13"/>
  <c r="GQ27" i="13"/>
  <c r="GO27" i="13"/>
  <c r="GM27" i="13"/>
  <c r="GI27" i="13"/>
  <c r="GG27" i="13"/>
  <c r="GE27" i="13"/>
  <c r="GA27" i="13"/>
  <c r="FY27" i="13"/>
  <c r="FW27" i="13"/>
  <c r="FS27" i="13"/>
  <c r="FQ27" i="13"/>
  <c r="FO27" i="13"/>
  <c r="FK27" i="13"/>
  <c r="FI27" i="13"/>
  <c r="FG27" i="13"/>
  <c r="FC27" i="13"/>
  <c r="FA27" i="13"/>
  <c r="EY27" i="13"/>
  <c r="EU27" i="13"/>
  <c r="ES27" i="13"/>
  <c r="EQ27" i="13"/>
  <c r="EM27" i="13"/>
  <c r="EK27" i="13"/>
  <c r="EI27" i="13"/>
  <c r="EE27" i="13"/>
  <c r="EC27" i="13"/>
  <c r="EA27" i="13"/>
  <c r="GY26" i="13"/>
  <c r="GW26" i="13"/>
  <c r="GU26" i="13"/>
  <c r="GQ26" i="13"/>
  <c r="GO26" i="13"/>
  <c r="GM26" i="13"/>
  <c r="GI26" i="13"/>
  <c r="GG26" i="13"/>
  <c r="GE26" i="13"/>
  <c r="GA26" i="13"/>
  <c r="FY26" i="13"/>
  <c r="FW26" i="13"/>
  <c r="FS26" i="13"/>
  <c r="FQ26" i="13"/>
  <c r="FO26" i="13"/>
  <c r="FK26" i="13"/>
  <c r="FI26" i="13"/>
  <c r="FG26" i="13"/>
  <c r="FC26" i="13"/>
  <c r="FA26" i="13"/>
  <c r="EY26" i="13"/>
  <c r="EU26" i="13"/>
  <c r="ES26" i="13"/>
  <c r="EQ26" i="13"/>
  <c r="EM26" i="13"/>
  <c r="EK26" i="13"/>
  <c r="EI26" i="13"/>
  <c r="EE26" i="13"/>
  <c r="EC26" i="13"/>
  <c r="EA26" i="13"/>
  <c r="GY25" i="13"/>
  <c r="GW25" i="13"/>
  <c r="GU25" i="13"/>
  <c r="GQ25" i="13"/>
  <c r="GO25" i="13"/>
  <c r="GM25" i="13"/>
  <c r="GI25" i="13"/>
  <c r="GG25" i="13"/>
  <c r="GE25" i="13"/>
  <c r="GA25" i="13"/>
  <c r="FY25" i="13"/>
  <c r="FW25" i="13"/>
  <c r="FS25" i="13"/>
  <c r="FQ25" i="13"/>
  <c r="FO25" i="13"/>
  <c r="FK25" i="13"/>
  <c r="FI25" i="13"/>
  <c r="FG25" i="13"/>
  <c r="FC25" i="13"/>
  <c r="FA25" i="13"/>
  <c r="EY25" i="13"/>
  <c r="EU25" i="13"/>
  <c r="ES25" i="13"/>
  <c r="EQ25" i="13"/>
  <c r="EM25" i="13"/>
  <c r="EK25" i="13"/>
  <c r="EI25" i="13"/>
  <c r="EE25" i="13"/>
  <c r="EC25" i="13"/>
  <c r="EA25" i="13"/>
  <c r="GY24" i="13"/>
  <c r="GW24" i="13"/>
  <c r="GU24" i="13"/>
  <c r="GQ24" i="13"/>
  <c r="GO24" i="13"/>
  <c r="GM24" i="13"/>
  <c r="GI24" i="13"/>
  <c r="GG24" i="13"/>
  <c r="GE24" i="13"/>
  <c r="GA24" i="13"/>
  <c r="FY24" i="13"/>
  <c r="FW24" i="13"/>
  <c r="FS24" i="13"/>
  <c r="FQ24" i="13"/>
  <c r="FO24" i="13"/>
  <c r="FK24" i="13"/>
  <c r="FI24" i="13"/>
  <c r="FG24" i="13"/>
  <c r="FC24" i="13"/>
  <c r="FA24" i="13"/>
  <c r="EY24" i="13"/>
  <c r="EU24" i="13"/>
  <c r="ES24" i="13"/>
  <c r="EQ24" i="13"/>
  <c r="EM24" i="13"/>
  <c r="EK24" i="13"/>
  <c r="EI24" i="13"/>
  <c r="EE24" i="13"/>
  <c r="EC24" i="13"/>
  <c r="EA24" i="13"/>
  <c r="GY23" i="13"/>
  <c r="GW23" i="13"/>
  <c r="GU23" i="13"/>
  <c r="GQ23" i="13"/>
  <c r="GO23" i="13"/>
  <c r="GM23" i="13"/>
  <c r="GI23" i="13"/>
  <c r="GG23" i="13"/>
  <c r="GE23" i="13"/>
  <c r="GA23" i="13"/>
  <c r="FY23" i="13"/>
  <c r="FW23" i="13"/>
  <c r="FS23" i="13"/>
  <c r="FQ23" i="13"/>
  <c r="FO23" i="13"/>
  <c r="FK23" i="13"/>
  <c r="FI23" i="13"/>
  <c r="FG23" i="13"/>
  <c r="FC23" i="13"/>
  <c r="FA23" i="13"/>
  <c r="EY23" i="13"/>
  <c r="EU23" i="13"/>
  <c r="ES23" i="13"/>
  <c r="EQ23" i="13"/>
  <c r="EM23" i="13"/>
  <c r="EK23" i="13"/>
  <c r="EI23" i="13"/>
  <c r="EE23" i="13"/>
  <c r="EC23" i="13"/>
  <c r="EA23" i="13"/>
  <c r="GY22" i="13"/>
  <c r="GW22" i="13"/>
  <c r="GU22" i="13"/>
  <c r="GQ22" i="13"/>
  <c r="GO22" i="13"/>
  <c r="GM22" i="13"/>
  <c r="GI22" i="13"/>
  <c r="GG22" i="13"/>
  <c r="GE22" i="13"/>
  <c r="GA22" i="13"/>
  <c r="FY22" i="13"/>
  <c r="FW22" i="13"/>
  <c r="FS22" i="13"/>
  <c r="FQ22" i="13"/>
  <c r="FO22" i="13"/>
  <c r="FK22" i="13"/>
  <c r="FI22" i="13"/>
  <c r="FG22" i="13"/>
  <c r="FC22" i="13"/>
  <c r="FA22" i="13"/>
  <c r="EY22" i="13"/>
  <c r="EU22" i="13"/>
  <c r="ES22" i="13"/>
  <c r="EQ22" i="13"/>
  <c r="EM22" i="13"/>
  <c r="EK22" i="13"/>
  <c r="EI22" i="13"/>
  <c r="EE22" i="13"/>
  <c r="EC22" i="13"/>
  <c r="EA22" i="13"/>
  <c r="GY21" i="13"/>
  <c r="GW21" i="13"/>
  <c r="GU21" i="13"/>
  <c r="GQ21" i="13"/>
  <c r="GO21" i="13"/>
  <c r="GM21" i="13"/>
  <c r="GI21" i="13"/>
  <c r="GG21" i="13"/>
  <c r="GE21" i="13"/>
  <c r="GA21" i="13"/>
  <c r="FY21" i="13"/>
  <c r="FW21" i="13"/>
  <c r="FS21" i="13"/>
  <c r="FQ21" i="13"/>
  <c r="FO21" i="13"/>
  <c r="FK21" i="13"/>
  <c r="FI21" i="13"/>
  <c r="FG21" i="13"/>
  <c r="FC21" i="13"/>
  <c r="FA21" i="13"/>
  <c r="EY21" i="13"/>
  <c r="EU21" i="13"/>
  <c r="ES21" i="13"/>
  <c r="EQ21" i="13"/>
  <c r="EM21" i="13"/>
  <c r="EK21" i="13"/>
  <c r="EI21" i="13"/>
  <c r="EE21" i="13"/>
  <c r="EC21" i="13"/>
  <c r="EA21" i="13"/>
  <c r="GY20" i="13"/>
  <c r="GW20" i="13"/>
  <c r="GU20" i="13"/>
  <c r="GQ20" i="13" l="1"/>
  <c r="GO20" i="13"/>
  <c r="GM20" i="13"/>
  <c r="GI20" i="13" l="1"/>
  <c r="GG20" i="13"/>
  <c r="GE20" i="13"/>
  <c r="GA20" i="13" l="1"/>
  <c r="FY20" i="13"/>
  <c r="FW20" i="13"/>
  <c r="FS20" i="13" l="1"/>
  <c r="FQ20" i="13"/>
  <c r="FO20" i="13"/>
  <c r="FK20" i="13" l="1"/>
  <c r="FI20" i="13"/>
  <c r="FG20" i="13"/>
  <c r="FC20" i="13" l="1"/>
  <c r="FA20" i="13"/>
  <c r="EY20" i="13"/>
  <c r="EU20" i="13" l="1"/>
  <c r="ES20" i="13"/>
  <c r="EQ20" i="13"/>
  <c r="EM20" i="13" l="1"/>
  <c r="EK20" i="13"/>
  <c r="EI20" i="13"/>
  <c r="EE20" i="13" l="1"/>
  <c r="EC20" i="13"/>
  <c r="EA20" i="13"/>
  <c r="C34" i="2" l="1"/>
  <c r="W5" i="19" l="1"/>
  <c r="M5" i="19"/>
  <c r="C5" i="19" l="1"/>
  <c r="GT16" i="13"/>
  <c r="GL16" i="13"/>
  <c r="GD16" i="13"/>
  <c r="FV16" i="13"/>
  <c r="FN16" i="13"/>
  <c r="FF16" i="13"/>
  <c r="EX16" i="13"/>
  <c r="EP16" i="13"/>
  <c r="EH16" i="13"/>
  <c r="M12" i="13" l="1"/>
  <c r="N12" i="13"/>
  <c r="O12" i="13"/>
  <c r="P12" i="13"/>
  <c r="Q12" i="13"/>
  <c r="L12" i="13"/>
  <c r="Q15" i="13"/>
  <c r="P15" i="13"/>
  <c r="K50" i="13" s="1"/>
  <c r="S37" i="8"/>
  <c r="Q37" i="8"/>
  <c r="P37" i="8"/>
  <c r="S36" i="8"/>
  <c r="Q36" i="8"/>
  <c r="P36" i="8"/>
  <c r="S35" i="8"/>
  <c r="Q35" i="8"/>
  <c r="P35" i="8"/>
  <c r="S34" i="8"/>
  <c r="Q34" i="8"/>
  <c r="P34" i="8"/>
  <c r="S33" i="8"/>
  <c r="Q33" i="8"/>
  <c r="P33" i="8"/>
  <c r="S32" i="8"/>
  <c r="Q32" i="8"/>
  <c r="P32" i="8"/>
  <c r="O15" i="13"/>
  <c r="K38" i="13" s="1"/>
  <c r="K134" i="13" l="1"/>
  <c r="K130" i="13"/>
  <c r="K98" i="13"/>
  <c r="K126" i="13"/>
  <c r="K94" i="13"/>
  <c r="K122" i="13"/>
  <c r="K89" i="13"/>
  <c r="K118" i="13"/>
  <c r="K22" i="13"/>
  <c r="K114" i="13"/>
  <c r="K110" i="13"/>
  <c r="K106" i="13"/>
  <c r="K102" i="13"/>
  <c r="K112" i="13"/>
  <c r="K88" i="13"/>
  <c r="K48" i="13"/>
  <c r="K137" i="13"/>
  <c r="K129" i="13"/>
  <c r="K136" i="13"/>
  <c r="K128" i="13"/>
  <c r="K135" i="13"/>
  <c r="K111" i="13"/>
  <c r="K47" i="13"/>
  <c r="K30" i="13"/>
  <c r="K86" i="13"/>
  <c r="K78" i="13"/>
  <c r="K70" i="13"/>
  <c r="K62" i="13"/>
  <c r="K54" i="13"/>
  <c r="K46" i="13"/>
  <c r="K37" i="13"/>
  <c r="K26" i="13"/>
  <c r="K34" i="13"/>
  <c r="K52" i="13"/>
  <c r="K36" i="13"/>
  <c r="K131" i="13"/>
  <c r="K51" i="13"/>
  <c r="K90" i="13"/>
  <c r="K82" i="13"/>
  <c r="K74" i="13"/>
  <c r="K66" i="13"/>
  <c r="K58" i="13"/>
  <c r="K42" i="13"/>
  <c r="DM10" i="13"/>
  <c r="DL10" i="13"/>
  <c r="DK10" i="13"/>
  <c r="DJ10" i="13"/>
  <c r="DH10" i="13"/>
  <c r="DG10" i="13"/>
  <c r="DF10" i="13"/>
  <c r="DE10" i="13"/>
  <c r="DD10" i="13"/>
  <c r="DD12" i="13" l="1"/>
  <c r="DD9" i="13"/>
  <c r="DD7" i="13"/>
  <c r="DD13" i="13"/>
  <c r="DD8" i="13"/>
  <c r="DM12" i="13"/>
  <c r="DM9" i="13"/>
  <c r="DM7" i="13"/>
  <c r="DM13" i="13"/>
  <c r="DM8" i="13"/>
  <c r="DF12" i="13"/>
  <c r="DF9" i="13"/>
  <c r="DF7" i="13"/>
  <c r="DF13" i="13"/>
  <c r="DF8" i="13"/>
  <c r="DG9" i="13"/>
  <c r="DG11" i="13" s="1"/>
  <c r="DG13" i="13"/>
  <c r="DG8" i="13"/>
  <c r="DG7" i="13"/>
  <c r="DG12" i="13"/>
  <c r="DE12" i="13"/>
  <c r="DE9" i="13"/>
  <c r="DE7" i="13"/>
  <c r="DE13" i="13"/>
  <c r="DE8" i="13"/>
  <c r="DH13" i="13"/>
  <c r="DH8" i="13"/>
  <c r="DH12" i="13"/>
  <c r="DH9" i="13"/>
  <c r="DH7" i="13"/>
  <c r="DI13" i="13"/>
  <c r="DI8" i="13"/>
  <c r="DI12" i="13"/>
  <c r="DI9" i="13"/>
  <c r="DI7" i="13"/>
  <c r="DJ13" i="13"/>
  <c r="DJ8" i="13"/>
  <c r="DJ12" i="13"/>
  <c r="DJ9" i="13"/>
  <c r="DJ7" i="13"/>
  <c r="DK13" i="13"/>
  <c r="DK12" i="13"/>
  <c r="DK9" i="13"/>
  <c r="DK7" i="13"/>
  <c r="DK8" i="13"/>
  <c r="DL12" i="13"/>
  <c r="DL9" i="13"/>
  <c r="DL7" i="13"/>
  <c r="DL13" i="13"/>
  <c r="DL8" i="13"/>
  <c r="DI10" i="13"/>
  <c r="AG5" i="6"/>
  <c r="W5" i="6"/>
  <c r="M5" i="6"/>
  <c r="C5" i="6"/>
  <c r="G28" i="4"/>
  <c r="G17" i="4"/>
  <c r="G18" i="4" s="1"/>
  <c r="G19" i="4" s="1"/>
  <c r="G20" i="4" s="1"/>
  <c r="I11" i="4" s="1"/>
  <c r="I12" i="4" s="1"/>
  <c r="I13" i="4" s="1"/>
  <c r="I14" i="4" s="1"/>
  <c r="I15" i="4" s="1"/>
  <c r="I16" i="4" s="1"/>
  <c r="I17" i="4" s="1"/>
  <c r="I18" i="4" s="1"/>
  <c r="I19" i="4" s="1"/>
  <c r="I20" i="4" s="1"/>
  <c r="K11" i="4" s="1"/>
  <c r="K12" i="4" s="1"/>
  <c r="K13" i="4" s="1"/>
  <c r="K14" i="4" s="1"/>
  <c r="K15" i="4" s="1"/>
  <c r="K16" i="4" s="1"/>
  <c r="K17" i="4" s="1"/>
  <c r="K18" i="4" s="1"/>
  <c r="K19" i="4" s="1"/>
  <c r="K20" i="4" s="1"/>
  <c r="B11" i="4"/>
  <c r="F28" i="4"/>
  <c r="D11" i="4"/>
  <c r="F11" i="4"/>
  <c r="H11" i="4"/>
  <c r="J11" i="4"/>
  <c r="B12" i="4"/>
  <c r="D12" i="4"/>
  <c r="F12" i="4"/>
  <c r="H12" i="4"/>
  <c r="J12" i="4"/>
  <c r="B13" i="4"/>
  <c r="D13" i="4"/>
  <c r="F13" i="4"/>
  <c r="H13" i="4"/>
  <c r="J13" i="4"/>
  <c r="B14" i="4"/>
  <c r="D14" i="4"/>
  <c r="F14" i="4"/>
  <c r="H14" i="4"/>
  <c r="J14" i="4"/>
  <c r="B15" i="4"/>
  <c r="D15" i="4"/>
  <c r="F15" i="4"/>
  <c r="H15" i="4"/>
  <c r="J15" i="4"/>
  <c r="B16" i="4"/>
  <c r="D16" i="4"/>
  <c r="F16" i="4"/>
  <c r="H16" i="4"/>
  <c r="J16" i="4"/>
  <c r="B17" i="4"/>
  <c r="D17" i="4"/>
  <c r="F17" i="4"/>
  <c r="H17" i="4"/>
  <c r="J17" i="4"/>
  <c r="B18" i="4"/>
  <c r="D18" i="4"/>
  <c r="F18" i="4"/>
  <c r="H18" i="4"/>
  <c r="J18" i="4"/>
  <c r="B19" i="4"/>
  <c r="D19" i="4"/>
  <c r="F19" i="4"/>
  <c r="H19" i="4"/>
  <c r="J19" i="4"/>
  <c r="B20" i="4"/>
  <c r="D20" i="4"/>
  <c r="F20" i="4"/>
  <c r="H20" i="4"/>
  <c r="J20" i="4"/>
  <c r="G7" i="4" a="1"/>
  <c r="G7" i="4" s="1"/>
  <c r="A48" i="4"/>
  <c r="A47" i="4"/>
  <c r="A46" i="4"/>
  <c r="A45" i="4"/>
  <c r="A44" i="4"/>
  <c r="A43" i="4"/>
  <c r="A42" i="4"/>
  <c r="A41" i="4"/>
  <c r="A40" i="4"/>
  <c r="A39" i="4"/>
  <c r="A38" i="4"/>
  <c r="A37" i="4"/>
  <c r="A36" i="4"/>
  <c r="A35" i="4"/>
  <c r="A34" i="4"/>
  <c r="A33" i="4"/>
  <c r="A32" i="4"/>
  <c r="A31" i="4"/>
  <c r="A30" i="4"/>
  <c r="A29" i="4"/>
  <c r="A28" i="4"/>
  <c r="I7" i="4" l="1"/>
  <c r="ED25" i="13" s="1" a="1"/>
  <c r="ED25" i="13" s="1"/>
  <c r="AI33" i="6" l="1" a="1"/>
  <c r="AI33" i="6" s="1"/>
  <c r="P32" i="6" a="1"/>
  <c r="P32" i="6" s="1"/>
  <c r="P34" i="6" a="1"/>
  <c r="P34" i="6" s="1"/>
  <c r="P36" i="6" a="1"/>
  <c r="P36" i="6" s="1"/>
  <c r="F32" i="6" a="1"/>
  <c r="F32" i="6" s="1"/>
  <c r="I33" i="6" a="1"/>
  <c r="I33" i="6" s="1"/>
  <c r="G35" i="6" a="1"/>
  <c r="G35" i="6" s="1"/>
  <c r="Y36" i="6" a="1"/>
  <c r="Y36" i="6" s="1"/>
  <c r="F31" i="6" a="1"/>
  <c r="F31" i="6" s="1"/>
  <c r="F36" i="6" a="1"/>
  <c r="F36" i="6" s="1"/>
  <c r="H31" i="6" a="1"/>
  <c r="H31" i="6" s="1"/>
  <c r="S31" i="6" a="1"/>
  <c r="S31" i="6" s="1"/>
  <c r="I36" i="6" a="1"/>
  <c r="I36" i="6" s="1"/>
  <c r="AI34" i="6" a="1"/>
  <c r="AI34" i="6" s="1"/>
  <c r="Q32" i="6" a="1"/>
  <c r="Q32" i="6" s="1"/>
  <c r="Q34" i="6" a="1"/>
  <c r="Q34" i="6" s="1"/>
  <c r="Q36" i="6" a="1"/>
  <c r="Q36" i="6" s="1"/>
  <c r="G32" i="6" a="1"/>
  <c r="G32" i="6" s="1"/>
  <c r="H35" i="6" a="1"/>
  <c r="H35" i="6" s="1"/>
  <c r="Y31" i="6" a="1"/>
  <c r="Y31" i="6" s="1"/>
  <c r="Y37" i="6" a="1"/>
  <c r="Y37" i="6" s="1"/>
  <c r="P35" i="6" a="1"/>
  <c r="P35" i="6" s="1"/>
  <c r="H34" i="6" a="1"/>
  <c r="H34" i="6" s="1"/>
  <c r="AI32" i="6" a="1"/>
  <c r="AI32" i="6" s="1"/>
  <c r="H33" i="6" a="1"/>
  <c r="H33" i="6" s="1"/>
  <c r="AI35" i="6" a="1"/>
  <c r="AI35" i="6" s="1"/>
  <c r="R32" i="6" a="1"/>
  <c r="R32" i="6" s="1"/>
  <c r="R34" i="6" a="1"/>
  <c r="R34" i="6" s="1"/>
  <c r="R36" i="6" a="1"/>
  <c r="R36" i="6" s="1"/>
  <c r="H32" i="6" a="1"/>
  <c r="H32" i="6" s="1"/>
  <c r="F34" i="6" a="1"/>
  <c r="F34" i="6" s="1"/>
  <c r="I35" i="6" a="1"/>
  <c r="I35" i="6" s="1"/>
  <c r="Y32" i="6" a="1"/>
  <c r="Y32" i="6" s="1"/>
  <c r="P33" i="6" a="1"/>
  <c r="P33" i="6" s="1"/>
  <c r="G33" i="6" a="1"/>
  <c r="G33" i="6" s="1"/>
  <c r="I31" i="6" a="1"/>
  <c r="I31" i="6" s="1"/>
  <c r="AI36" i="6" a="1"/>
  <c r="AI36" i="6" s="1"/>
  <c r="S32" i="6" a="1"/>
  <c r="S32" i="6" s="1"/>
  <c r="S34" i="6" a="1"/>
  <c r="S34" i="6" s="1"/>
  <c r="S36" i="6" a="1"/>
  <c r="S36" i="6" s="1"/>
  <c r="I32" i="6" a="1"/>
  <c r="I32" i="6" s="1"/>
  <c r="G34" i="6" a="1"/>
  <c r="G34" i="6" s="1"/>
  <c r="Y33" i="6" a="1"/>
  <c r="Y33" i="6" s="1"/>
  <c r="P31" i="6" a="1"/>
  <c r="P31" i="6" s="1"/>
  <c r="R33" i="6" a="1"/>
  <c r="R33" i="6" s="1"/>
  <c r="Y34" i="6" a="1"/>
  <c r="Y34" i="6" s="1"/>
  <c r="S33" i="6" a="1"/>
  <c r="S33" i="6" s="1"/>
  <c r="Y35" i="6" a="1"/>
  <c r="Y35" i="6" s="1"/>
  <c r="Q31" i="6" a="1"/>
  <c r="Q31" i="6" s="1"/>
  <c r="Q33" i="6" a="1"/>
  <c r="Q33" i="6" s="1"/>
  <c r="Q35" i="6" a="1"/>
  <c r="Q35" i="6" s="1"/>
  <c r="G31" i="6" a="1"/>
  <c r="G31" i="6" s="1"/>
  <c r="F33" i="6" a="1"/>
  <c r="F33" i="6" s="1"/>
  <c r="I34" i="6" a="1"/>
  <c r="I34" i="6" s="1"/>
  <c r="G36" i="6" a="1"/>
  <c r="G36" i="6" s="1"/>
  <c r="AI31" i="6" a="1"/>
  <c r="AI31" i="6" s="1"/>
  <c r="R31" i="6" a="1"/>
  <c r="R31" i="6" s="1"/>
  <c r="R35" i="6" a="1"/>
  <c r="R35" i="6" s="1"/>
  <c r="H36" i="6" a="1"/>
  <c r="H36" i="6" s="1"/>
  <c r="S35" i="6" a="1"/>
  <c r="S35" i="6" s="1"/>
  <c r="F35" i="6" a="1"/>
  <c r="F35" i="6" s="1"/>
  <c r="R157" i="6" a="1"/>
  <c r="R157" i="6" s="1"/>
  <c r="P156" i="6" a="1"/>
  <c r="P156" i="6" s="1"/>
  <c r="S154" i="6" a="1"/>
  <c r="S154" i="6" s="1"/>
  <c r="Q153" i="6" a="1"/>
  <c r="Q153" i="6" s="1"/>
  <c r="S151" i="6" a="1"/>
  <c r="S151" i="6" s="1"/>
  <c r="R150" i="6" a="1"/>
  <c r="R150" i="6" s="1"/>
  <c r="R149" i="6" a="1"/>
  <c r="R149" i="6" s="1"/>
  <c r="S143" i="6" a="1"/>
  <c r="S143" i="6" s="1"/>
  <c r="S142" i="6" a="1"/>
  <c r="S142" i="6" s="1"/>
  <c r="AI141" i="6" a="1"/>
  <c r="AI141" i="6" s="1"/>
  <c r="R138" i="6" a="1"/>
  <c r="R138" i="6" s="1"/>
  <c r="R137" i="6" a="1"/>
  <c r="R137" i="6" s="1"/>
  <c r="S136" i="6" a="1"/>
  <c r="S136" i="6" s="1"/>
  <c r="AI135" i="6" a="1"/>
  <c r="AI135" i="6" s="1"/>
  <c r="S134" i="6" a="1"/>
  <c r="S134" i="6" s="1"/>
  <c r="Q133" i="6" a="1"/>
  <c r="Q133" i="6" s="1"/>
  <c r="Q132" i="6" a="1"/>
  <c r="Q132" i="6" s="1"/>
  <c r="S131" i="6" a="1"/>
  <c r="S131" i="6" s="1"/>
  <c r="R130" i="6" a="1"/>
  <c r="R130" i="6" s="1"/>
  <c r="Q129" i="6" a="1"/>
  <c r="Q129" i="6" s="1"/>
  <c r="P128" i="6" a="1"/>
  <c r="P128" i="6" s="1"/>
  <c r="AI126" i="6" a="1"/>
  <c r="AI126" i="6" s="1"/>
  <c r="S125" i="6" a="1"/>
  <c r="S125" i="6" s="1"/>
  <c r="R124" i="6" a="1"/>
  <c r="R124" i="6" s="1"/>
  <c r="Q123" i="6" a="1"/>
  <c r="Q123" i="6" s="1"/>
  <c r="AI121" i="6" a="1"/>
  <c r="AI121" i="6" s="1"/>
  <c r="AI120" i="6" a="1"/>
  <c r="AI120" i="6" s="1"/>
  <c r="S116" i="6" a="1"/>
  <c r="S116" i="6" s="1"/>
  <c r="S115" i="6" a="1"/>
  <c r="S115" i="6" s="1"/>
  <c r="R113" i="6" a="1"/>
  <c r="R113" i="6" s="1"/>
  <c r="P112" i="6" a="1"/>
  <c r="P112" i="6" s="1"/>
  <c r="Q111" i="6" a="1"/>
  <c r="Q111" i="6" s="1"/>
  <c r="S108" i="6" a="1"/>
  <c r="S108" i="6" s="1"/>
  <c r="AI107" i="6" a="1"/>
  <c r="AI107" i="6" s="1"/>
  <c r="AI105" i="6" a="1"/>
  <c r="AI105" i="6" s="1"/>
  <c r="AI104" i="6" a="1"/>
  <c r="AI104" i="6" s="1"/>
  <c r="Y97" i="6" a="1"/>
  <c r="Y97" i="6" s="1"/>
  <c r="F97" i="6" a="1"/>
  <c r="F97" i="6" s="1"/>
  <c r="R96" i="6" a="1"/>
  <c r="R96" i="6" s="1"/>
  <c r="F96" i="6" a="1"/>
  <c r="F96" i="6" s="1"/>
  <c r="R95" i="6" a="1"/>
  <c r="R95" i="6" s="1"/>
  <c r="Y94" i="6" a="1"/>
  <c r="Y94" i="6" s="1"/>
  <c r="R93" i="6" a="1"/>
  <c r="R93" i="6" s="1"/>
  <c r="P91" i="6" a="1"/>
  <c r="P91" i="6" s="1"/>
  <c r="I90" i="6" a="1"/>
  <c r="I90" i="6" s="1"/>
  <c r="AI89" i="6" a="1"/>
  <c r="AI89" i="6" s="1"/>
  <c r="Q157" i="6" a="1"/>
  <c r="Q157" i="6" s="1"/>
  <c r="R154" i="6" a="1"/>
  <c r="R154" i="6" s="1"/>
  <c r="P153" i="6" a="1"/>
  <c r="P153" i="6" s="1"/>
  <c r="R151" i="6" a="1"/>
  <c r="R151" i="6" s="1"/>
  <c r="Q150" i="6" a="1"/>
  <c r="Q150" i="6" s="1"/>
  <c r="Q149" i="6" a="1"/>
  <c r="Q149" i="6" s="1"/>
  <c r="AI146" i="6" a="1"/>
  <c r="AI146" i="6" s="1"/>
  <c r="AI144" i="6" a="1"/>
  <c r="AI144" i="6" s="1"/>
  <c r="R143" i="6" a="1"/>
  <c r="R143" i="6" s="1"/>
  <c r="R142" i="6" a="1"/>
  <c r="R142" i="6" s="1"/>
  <c r="S141" i="6" a="1"/>
  <c r="S141" i="6" s="1"/>
  <c r="AI140" i="6" a="1"/>
  <c r="AI140" i="6" s="1"/>
  <c r="S139" i="6" a="1"/>
  <c r="S139" i="6" s="1"/>
  <c r="Q138" i="6" a="1"/>
  <c r="Q138" i="6" s="1"/>
  <c r="Q137" i="6" a="1"/>
  <c r="Q137" i="6" s="1"/>
  <c r="R134" i="6" a="1"/>
  <c r="R134" i="6" s="1"/>
  <c r="P133" i="6" a="1"/>
  <c r="P133" i="6" s="1"/>
  <c r="P132" i="6" a="1"/>
  <c r="P132" i="6" s="1"/>
  <c r="R131" i="6" a="1"/>
  <c r="R131" i="6" s="1"/>
  <c r="Q130" i="6" a="1"/>
  <c r="Q130" i="6" s="1"/>
  <c r="P129" i="6" a="1"/>
  <c r="P129" i="6" s="1"/>
  <c r="S126" i="6" a="1"/>
  <c r="S126" i="6" s="1"/>
  <c r="R125" i="6" a="1"/>
  <c r="R125" i="6" s="1"/>
  <c r="Q124" i="6" a="1"/>
  <c r="Q124" i="6" s="1"/>
  <c r="P123" i="6" a="1"/>
  <c r="P123" i="6" s="1"/>
  <c r="S121" i="6" a="1"/>
  <c r="S121" i="6" s="1"/>
  <c r="S120" i="6" a="1"/>
  <c r="S120" i="6" s="1"/>
  <c r="AI118" i="6" a="1"/>
  <c r="AI118" i="6" s="1"/>
  <c r="S117" i="6" a="1"/>
  <c r="S117" i="6" s="1"/>
  <c r="R116" i="6" a="1"/>
  <c r="R116" i="6" s="1"/>
  <c r="R115" i="6" a="1"/>
  <c r="R115" i="6" s="1"/>
  <c r="R114" i="6" a="1"/>
  <c r="R114" i="6" s="1"/>
  <c r="Q113" i="6" a="1"/>
  <c r="Q113" i="6" s="1"/>
  <c r="P111" i="6" a="1"/>
  <c r="P111" i="6" s="1"/>
  <c r="P110" i="6" a="1"/>
  <c r="P110" i="6" s="1"/>
  <c r="S107" i="6" a="1"/>
  <c r="S107" i="6" s="1"/>
  <c r="R106" i="6" a="1"/>
  <c r="R106" i="6" s="1"/>
  <c r="S105" i="6" a="1"/>
  <c r="S105" i="6" s="1"/>
  <c r="S104" i="6" a="1"/>
  <c r="S104" i="6" s="1"/>
  <c r="AI103" i="6" a="1"/>
  <c r="AI103" i="6" s="1"/>
  <c r="AI102" i="6" a="1"/>
  <c r="AI102" i="6" s="1"/>
  <c r="AI100" i="6" a="1"/>
  <c r="AI100" i="6" s="1"/>
  <c r="AI99" i="6" a="1"/>
  <c r="AI99" i="6" s="1"/>
  <c r="S97" i="6" a="1"/>
  <c r="S97" i="6" s="1"/>
  <c r="Q96" i="6" a="1"/>
  <c r="Q96" i="6" s="1"/>
  <c r="AI95" i="6" a="1"/>
  <c r="AI95" i="6" s="1"/>
  <c r="Q95" i="6" a="1"/>
  <c r="Q95" i="6" s="1"/>
  <c r="F95" i="6" a="1"/>
  <c r="F95" i="6" s="1"/>
  <c r="S94" i="6" a="1"/>
  <c r="S94" i="6" s="1"/>
  <c r="H94" i="6" a="1"/>
  <c r="H94" i="6" s="1"/>
  <c r="Q93" i="6" a="1"/>
  <c r="Q93" i="6" s="1"/>
  <c r="F93" i="6" a="1"/>
  <c r="F93" i="6" s="1"/>
  <c r="R92" i="6" a="1"/>
  <c r="R92" i="6" s="1"/>
  <c r="G92" i="6" a="1"/>
  <c r="G92" i="6" s="1"/>
  <c r="I91" i="6" a="1"/>
  <c r="I91" i="6" s="1"/>
  <c r="AI90" i="6" a="1"/>
  <c r="AI90" i="6" s="1"/>
  <c r="P157" i="6" a="1"/>
  <c r="P157" i="6" s="1"/>
  <c r="AI155" i="6" a="1"/>
  <c r="AI155" i="6" s="1"/>
  <c r="Q154" i="6" a="1"/>
  <c r="Q154" i="6" s="1"/>
  <c r="AI152" i="6" a="1"/>
  <c r="AI152" i="6" s="1"/>
  <c r="Q151" i="6" a="1"/>
  <c r="Q151" i="6" s="1"/>
  <c r="P149" i="6" a="1"/>
  <c r="P149" i="6" s="1"/>
  <c r="S146" i="6" a="1"/>
  <c r="S146" i="6" s="1"/>
  <c r="AI145" i="6" a="1"/>
  <c r="AI145" i="6" s="1"/>
  <c r="S144" i="6" a="1"/>
  <c r="S144" i="6" s="1"/>
  <c r="Q143" i="6" a="1"/>
  <c r="Q143" i="6" s="1"/>
  <c r="Q142" i="6" a="1"/>
  <c r="Q142" i="6" s="1"/>
  <c r="R141" i="6" a="1"/>
  <c r="R141" i="6" s="1"/>
  <c r="S140" i="6" a="1"/>
  <c r="S140" i="6" s="1"/>
  <c r="R139" i="6" a="1"/>
  <c r="R139" i="6" s="1"/>
  <c r="P138" i="6" a="1"/>
  <c r="P138" i="6" s="1"/>
  <c r="P137" i="6" a="1"/>
  <c r="P137" i="6" s="1"/>
  <c r="R136" i="6" a="1"/>
  <c r="R136" i="6" s="1"/>
  <c r="S135" i="6" a="1"/>
  <c r="S135" i="6" s="1"/>
  <c r="Q134" i="6" a="1"/>
  <c r="Q134" i="6" s="1"/>
  <c r="Q131" i="6" a="1"/>
  <c r="Q131" i="6" s="1"/>
  <c r="P130" i="6" a="1"/>
  <c r="P130" i="6" s="1"/>
  <c r="R126" i="6" a="1"/>
  <c r="R126" i="6" s="1"/>
  <c r="P124" i="6" a="1"/>
  <c r="P124" i="6" s="1"/>
  <c r="AI122" i="6" a="1"/>
  <c r="AI122" i="6" s="1"/>
  <c r="R121" i="6" a="1"/>
  <c r="R121" i="6" s="1"/>
  <c r="R120" i="6" a="1"/>
  <c r="R120" i="6" s="1"/>
  <c r="AI119" i="6" a="1"/>
  <c r="AI119" i="6" s="1"/>
  <c r="S118" i="6" a="1"/>
  <c r="S118" i="6" s="1"/>
  <c r="R117" i="6" a="1"/>
  <c r="R117" i="6" s="1"/>
  <c r="Q116" i="6" a="1"/>
  <c r="Q116" i="6" s="1"/>
  <c r="Q114" i="6" a="1"/>
  <c r="Q114" i="6" s="1"/>
  <c r="P113" i="6" a="1"/>
  <c r="P113" i="6" s="1"/>
  <c r="AI109" i="6" a="1"/>
  <c r="AI109" i="6" s="1"/>
  <c r="R108" i="6" a="1"/>
  <c r="R108" i="6" s="1"/>
  <c r="R107" i="6" a="1"/>
  <c r="R107" i="6" s="1"/>
  <c r="Q106" i="6" a="1"/>
  <c r="Q106" i="6" s="1"/>
  <c r="R105" i="6" a="1"/>
  <c r="R105" i="6" s="1"/>
  <c r="S102" i="6" a="1"/>
  <c r="S102" i="6" s="1"/>
  <c r="AI101" i="6" a="1"/>
  <c r="AI101" i="6" s="1"/>
  <c r="S100" i="6" a="1"/>
  <c r="S100" i="6" s="1"/>
  <c r="AI98" i="6" a="1"/>
  <c r="AI98" i="6" s="1"/>
  <c r="R97" i="6" a="1"/>
  <c r="R97" i="6" s="1"/>
  <c r="P96" i="6" a="1"/>
  <c r="P96" i="6" s="1"/>
  <c r="Y91" i="6" a="1"/>
  <c r="Y91" i="6" s="1"/>
  <c r="Y90" i="6" a="1"/>
  <c r="Y90" i="6" s="1"/>
  <c r="H90" i="6" a="1"/>
  <c r="H90" i="6" s="1"/>
  <c r="S155" i="6" a="1"/>
  <c r="S155" i="6" s="1"/>
  <c r="S152" i="6" a="1"/>
  <c r="S152" i="6" s="1"/>
  <c r="P151" i="6" a="1"/>
  <c r="P151" i="6" s="1"/>
  <c r="P150" i="6" a="1"/>
  <c r="P150" i="6" s="1"/>
  <c r="AI148" i="6" a="1"/>
  <c r="AI148" i="6" s="1"/>
  <c r="AI147" i="6" a="1"/>
  <c r="AI147" i="6" s="1"/>
  <c r="R146" i="6" a="1"/>
  <c r="R146" i="6" s="1"/>
  <c r="S145" i="6" a="1"/>
  <c r="S145" i="6" s="1"/>
  <c r="R144" i="6" a="1"/>
  <c r="R144" i="6" s="1"/>
  <c r="P143" i="6" a="1"/>
  <c r="P143" i="6" s="1"/>
  <c r="P142" i="6" a="1"/>
  <c r="P142" i="6" s="1"/>
  <c r="Q141" i="6" a="1"/>
  <c r="Q141" i="6" s="1"/>
  <c r="R140" i="6" a="1"/>
  <c r="R140" i="6" s="1"/>
  <c r="Q139" i="6" a="1"/>
  <c r="Q139" i="6" s="1"/>
  <c r="Q136" i="6" a="1"/>
  <c r="Q136" i="6" s="1"/>
  <c r="R135" i="6" a="1"/>
  <c r="R135" i="6" s="1"/>
  <c r="P134" i="6" a="1"/>
  <c r="P134" i="6" s="1"/>
  <c r="P131" i="6" a="1"/>
  <c r="P131" i="6" s="1"/>
  <c r="AI128" i="6" a="1"/>
  <c r="AI128" i="6" s="1"/>
  <c r="AI127" i="6" a="1"/>
  <c r="AI127" i="6" s="1"/>
  <c r="Q126" i="6" a="1"/>
  <c r="Q126" i="6" s="1"/>
  <c r="Q125" i="6" a="1"/>
  <c r="Q125" i="6" s="1"/>
  <c r="S122" i="6" a="1"/>
  <c r="S122" i="6" s="1"/>
  <c r="Q120" i="6" a="1"/>
  <c r="Q120" i="6" s="1"/>
  <c r="S119" i="6" a="1"/>
  <c r="S119" i="6" s="1"/>
  <c r="Q117" i="6" a="1"/>
  <c r="Q117" i="6" s="1"/>
  <c r="Q115" i="6" a="1"/>
  <c r="Q115" i="6" s="1"/>
  <c r="P114" i="6" a="1"/>
  <c r="P114" i="6" s="1"/>
  <c r="S109" i="6" a="1"/>
  <c r="S109" i="6" s="1"/>
  <c r="Q108" i="6" a="1"/>
  <c r="Q108" i="6" s="1"/>
  <c r="Q107" i="6" a="1"/>
  <c r="Q107" i="6" s="1"/>
  <c r="R104" i="6" a="1"/>
  <c r="R104" i="6" s="1"/>
  <c r="S103" i="6" a="1"/>
  <c r="S103" i="6" s="1"/>
  <c r="R102" i="6" a="1"/>
  <c r="R102" i="6" s="1"/>
  <c r="S101" i="6" a="1"/>
  <c r="S101" i="6" s="1"/>
  <c r="R100" i="6" a="1"/>
  <c r="R100" i="6" s="1"/>
  <c r="S99" i="6" a="1"/>
  <c r="S99" i="6" s="1"/>
  <c r="S98" i="6" a="1"/>
  <c r="S98" i="6" s="1"/>
  <c r="Q97" i="6" a="1"/>
  <c r="Q97" i="6" s="1"/>
  <c r="I96" i="6" a="1"/>
  <c r="I96" i="6" s="1"/>
  <c r="P95" i="6" a="1"/>
  <c r="P95" i="6" s="1"/>
  <c r="R94" i="6" a="1"/>
  <c r="R94" i="6" s="1"/>
  <c r="G94" i="6" a="1"/>
  <c r="G94" i="6" s="1"/>
  <c r="P93" i="6" a="1"/>
  <c r="P93" i="6" s="1"/>
  <c r="Q92" i="6" a="1"/>
  <c r="Q92" i="6" s="1"/>
  <c r="F92" i="6" a="1"/>
  <c r="F92" i="6" s="1"/>
  <c r="S91" i="6" a="1"/>
  <c r="S91" i="6" s="1"/>
  <c r="H91" i="6" a="1"/>
  <c r="H91" i="6" s="1"/>
  <c r="S90" i="6" a="1"/>
  <c r="S90" i="6" s="1"/>
  <c r="AI156" i="6" a="1"/>
  <c r="AI156" i="6" s="1"/>
  <c r="R155" i="6" a="1"/>
  <c r="R155" i="6" s="1"/>
  <c r="P154" i="6" a="1"/>
  <c r="P154" i="6" s="1"/>
  <c r="R152" i="6" a="1"/>
  <c r="R152" i="6" s="1"/>
  <c r="S148" i="6" a="1"/>
  <c r="S148" i="6" s="1"/>
  <c r="S147" i="6" a="1"/>
  <c r="S147" i="6" s="1"/>
  <c r="Q146" i="6" a="1"/>
  <c r="Q146" i="6" s="1"/>
  <c r="R145" i="6" a="1"/>
  <c r="R145" i="6" s="1"/>
  <c r="Q144" i="6" a="1"/>
  <c r="Q144" i="6" s="1"/>
  <c r="P141" i="6" a="1"/>
  <c r="P141" i="6" s="1"/>
  <c r="Q140" i="6" a="1"/>
  <c r="Q140" i="6" s="1"/>
  <c r="P139" i="6" a="1"/>
  <c r="P139" i="6" s="1"/>
  <c r="P136" i="6" a="1"/>
  <c r="P136" i="6" s="1"/>
  <c r="Q135" i="6" a="1"/>
  <c r="Q135" i="6" s="1"/>
  <c r="AI132" i="6" a="1"/>
  <c r="AI132" i="6" s="1"/>
  <c r="AI129" i="6" a="1"/>
  <c r="AI129" i="6" s="1"/>
  <c r="S128" i="6" a="1"/>
  <c r="S128" i="6" s="1"/>
  <c r="S127" i="6" a="1"/>
  <c r="S127" i="6" s="1"/>
  <c r="P126" i="6" a="1"/>
  <c r="P126" i="6" s="1"/>
  <c r="P125" i="6" a="1"/>
  <c r="P125" i="6" s="1"/>
  <c r="R122" i="6" a="1"/>
  <c r="R122" i="6" s="1"/>
  <c r="Q121" i="6" a="1"/>
  <c r="Q121" i="6" s="1"/>
  <c r="R119" i="6" a="1"/>
  <c r="R119" i="6" s="1"/>
  <c r="R118" i="6" a="1"/>
  <c r="R118" i="6" s="1"/>
  <c r="P117" i="6" a="1"/>
  <c r="P117" i="6" s="1"/>
  <c r="P116" i="6" a="1"/>
  <c r="P116" i="6" s="1"/>
  <c r="P115" i="6" a="1"/>
  <c r="P115" i="6" s="1"/>
  <c r="AI112" i="6" a="1"/>
  <c r="AI112" i="6" s="1"/>
  <c r="AI111" i="6" a="1"/>
  <c r="AI111" i="6" s="1"/>
  <c r="AI110" i="6" a="1"/>
  <c r="AI110" i="6" s="1"/>
  <c r="R109" i="6" a="1"/>
  <c r="R109" i="6" s="1"/>
  <c r="P107" i="6" a="1"/>
  <c r="P107" i="6" s="1"/>
  <c r="P106" i="6" a="1"/>
  <c r="P106" i="6" s="1"/>
  <c r="Q105" i="6" a="1"/>
  <c r="Q105" i="6" s="1"/>
  <c r="Q104" i="6" a="1"/>
  <c r="Q104" i="6" s="1"/>
  <c r="R103" i="6" a="1"/>
  <c r="R103" i="6" s="1"/>
  <c r="Q102" i="6" a="1"/>
  <c r="Q102" i="6" s="1"/>
  <c r="R101" i="6" a="1"/>
  <c r="R101" i="6" s="1"/>
  <c r="Q100" i="6" a="1"/>
  <c r="Q100" i="6" s="1"/>
  <c r="R99" i="6" a="1"/>
  <c r="R99" i="6" s="1"/>
  <c r="R98" i="6" a="1"/>
  <c r="R98" i="6" s="1"/>
  <c r="P97" i="6" a="1"/>
  <c r="P97" i="6" s="1"/>
  <c r="AI96" i="6" a="1"/>
  <c r="AI96" i="6" s="1"/>
  <c r="AI94" i="6" a="1"/>
  <c r="AI94" i="6" s="1"/>
  <c r="AI92" i="6" a="1"/>
  <c r="AI92" i="6" s="1"/>
  <c r="P92" i="6" a="1"/>
  <c r="P92" i="6" s="1"/>
  <c r="AI91" i="6" a="1"/>
  <c r="AI91" i="6" s="1"/>
  <c r="G91" i="6" a="1"/>
  <c r="G91" i="6" s="1"/>
  <c r="G90" i="6" a="1"/>
  <c r="G90" i="6" s="1"/>
  <c r="S156" i="6" a="1"/>
  <c r="S156" i="6" s="1"/>
  <c r="Q155" i="6" a="1"/>
  <c r="Q155" i="6" s="1"/>
  <c r="AI153" i="6" a="1"/>
  <c r="AI153" i="6" s="1"/>
  <c r="Q152" i="6" a="1"/>
  <c r="Q152" i="6" s="1"/>
  <c r="R148" i="6" a="1"/>
  <c r="R148" i="6" s="1"/>
  <c r="R147" i="6" a="1"/>
  <c r="R147" i="6" s="1"/>
  <c r="Q145" i="6" a="1"/>
  <c r="Q145" i="6" s="1"/>
  <c r="P144" i="6" a="1"/>
  <c r="P144" i="6" s="1"/>
  <c r="P140" i="6" a="1"/>
  <c r="P140" i="6" s="1"/>
  <c r="P135" i="6" a="1"/>
  <c r="P135" i="6" s="1"/>
  <c r="AI133" i="6" a="1"/>
  <c r="AI133" i="6" s="1"/>
  <c r="S132" i="6" a="1"/>
  <c r="S132" i="6" s="1"/>
  <c r="S129" i="6" a="1"/>
  <c r="S129" i="6" s="1"/>
  <c r="R127" i="6" a="1"/>
  <c r="R127" i="6" s="1"/>
  <c r="AI123" i="6" a="1"/>
  <c r="AI123" i="6" s="1"/>
  <c r="Q122" i="6" a="1"/>
  <c r="Q122" i="6" s="1"/>
  <c r="P121" i="6" a="1"/>
  <c r="P121" i="6" s="1"/>
  <c r="P120" i="6" a="1"/>
  <c r="P120" i="6" s="1"/>
  <c r="Q118" i="6" a="1"/>
  <c r="Q118" i="6" s="1"/>
  <c r="AI113" i="6" a="1"/>
  <c r="AI113" i="6" s="1"/>
  <c r="S112" i="6" a="1"/>
  <c r="S112" i="6" s="1"/>
  <c r="S110" i="6" a="1"/>
  <c r="S110" i="6" s="1"/>
  <c r="Q109" i="6" a="1"/>
  <c r="Q109" i="6" s="1"/>
  <c r="P108" i="6" a="1"/>
  <c r="P108" i="6" s="1"/>
  <c r="P105" i="6" a="1"/>
  <c r="P105" i="6" s="1"/>
  <c r="P104" i="6" a="1"/>
  <c r="P104" i="6" s="1"/>
  <c r="Q103" i="6" a="1"/>
  <c r="Q103" i="6" s="1"/>
  <c r="P102" i="6" a="1"/>
  <c r="P102" i="6" s="1"/>
  <c r="P100" i="6" a="1"/>
  <c r="P100" i="6" s="1"/>
  <c r="AI157" i="6" a="1"/>
  <c r="AI157" i="6" s="1"/>
  <c r="R156" i="6" a="1"/>
  <c r="R156" i="6" s="1"/>
  <c r="P155" i="6" a="1"/>
  <c r="P155" i="6" s="1"/>
  <c r="S153" i="6" a="1"/>
  <c r="S153" i="6" s="1"/>
  <c r="P152" i="6" a="1"/>
  <c r="P152" i="6" s="1"/>
  <c r="AI150" i="6" a="1"/>
  <c r="AI150" i="6" s="1"/>
  <c r="AI149" i="6" a="1"/>
  <c r="AI149" i="6" s="1"/>
  <c r="Q148" i="6" a="1"/>
  <c r="Q148" i="6" s="1"/>
  <c r="Q147" i="6" a="1"/>
  <c r="Q147" i="6" s="1"/>
  <c r="P146" i="6" a="1"/>
  <c r="P146" i="6" s="1"/>
  <c r="P145" i="6" a="1"/>
  <c r="P145" i="6" s="1"/>
  <c r="AI143" i="6" a="1"/>
  <c r="AI143" i="6" s="1"/>
  <c r="AI138" i="6" a="1"/>
  <c r="AI138" i="6" s="1"/>
  <c r="AI137" i="6" a="1"/>
  <c r="AI137" i="6" s="1"/>
  <c r="S133" i="6" a="1"/>
  <c r="S133" i="6" s="1"/>
  <c r="AI130" i="6" a="1"/>
  <c r="AI130" i="6" s="1"/>
  <c r="R129" i="6" a="1"/>
  <c r="R129" i="6" s="1"/>
  <c r="R128" i="6" a="1"/>
  <c r="R128" i="6" s="1"/>
  <c r="Q127" i="6" a="1"/>
  <c r="Q127" i="6" s="1"/>
  <c r="AI124" i="6" a="1"/>
  <c r="AI124" i="6" s="1"/>
  <c r="S123" i="6" a="1"/>
  <c r="S123" i="6" s="1"/>
  <c r="Q119" i="6" a="1"/>
  <c r="Q119" i="6" s="1"/>
  <c r="P118" i="6" a="1"/>
  <c r="P118" i="6" s="1"/>
  <c r="AI114" i="6" a="1"/>
  <c r="AI114" i="6" s="1"/>
  <c r="R112" i="6" a="1"/>
  <c r="R112" i="6" s="1"/>
  <c r="S111" i="6" a="1"/>
  <c r="S111" i="6" s="1"/>
  <c r="R110" i="6" a="1"/>
  <c r="R110" i="6" s="1"/>
  <c r="P109" i="6" a="1"/>
  <c r="P109" i="6" s="1"/>
  <c r="AI106" i="6" a="1"/>
  <c r="AI106" i="6" s="1"/>
  <c r="P103" i="6" a="1"/>
  <c r="P103" i="6" s="1"/>
  <c r="Q101" i="6" a="1"/>
  <c r="Q101" i="6" s="1"/>
  <c r="Q99" i="6" a="1"/>
  <c r="Q99" i="6" s="1"/>
  <c r="P98" i="6" a="1"/>
  <c r="P98" i="6" s="1"/>
  <c r="H97" i="6" a="1"/>
  <c r="H97" i="6" s="1"/>
  <c r="Y96" i="6" a="1"/>
  <c r="Y96" i="6" s="1"/>
  <c r="H95" i="6" a="1"/>
  <c r="H95" i="6" s="1"/>
  <c r="P94" i="6" a="1"/>
  <c r="P94" i="6" s="1"/>
  <c r="H93" i="6" a="1"/>
  <c r="H93" i="6" s="1"/>
  <c r="Y92" i="6" a="1"/>
  <c r="Y92" i="6" s="1"/>
  <c r="Q91" i="6" a="1"/>
  <c r="Q91" i="6" s="1"/>
  <c r="F91" i="6" a="1"/>
  <c r="F91" i="6" s="1"/>
  <c r="Q90" i="6" a="1"/>
  <c r="Q90" i="6" s="1"/>
  <c r="F90" i="6" a="1"/>
  <c r="F90" i="6" s="1"/>
  <c r="AI151" i="6" a="1"/>
  <c r="AI151" i="6" s="1"/>
  <c r="AI142" i="6" a="1"/>
  <c r="AI142" i="6" s="1"/>
  <c r="AI134" i="6" a="1"/>
  <c r="AI134" i="6" s="1"/>
  <c r="AI125" i="6" a="1"/>
  <c r="AI125" i="6" s="1"/>
  <c r="AI116" i="6" a="1"/>
  <c r="AI116" i="6" s="1"/>
  <c r="S96" i="6" a="1"/>
  <c r="S96" i="6" s="1"/>
  <c r="G93" i="6" a="1"/>
  <c r="G93" i="6" s="1"/>
  <c r="S89" i="6" a="1"/>
  <c r="S89" i="6" s="1"/>
  <c r="G89" i="6" a="1"/>
  <c r="G89" i="6" s="1"/>
  <c r="R88" i="6" a="1"/>
  <c r="R88" i="6" s="1"/>
  <c r="P86" i="6" a="1"/>
  <c r="P86" i="6" s="1"/>
  <c r="AI85" i="6" a="1"/>
  <c r="AI85" i="6" s="1"/>
  <c r="I85" i="6" a="1"/>
  <c r="I85" i="6" s="1"/>
  <c r="AI83" i="6" a="1"/>
  <c r="AI83" i="6" s="1"/>
  <c r="I83" i="6" a="1"/>
  <c r="I83" i="6" s="1"/>
  <c r="R82" i="6" a="1"/>
  <c r="R82" i="6" s="1"/>
  <c r="F82" i="6" a="1"/>
  <c r="F82" i="6" s="1"/>
  <c r="Y80" i="6" a="1"/>
  <c r="Y80" i="6" s="1"/>
  <c r="G80" i="6" a="1"/>
  <c r="G80" i="6" s="1"/>
  <c r="P79" i="6" a="1"/>
  <c r="P79" i="6" s="1"/>
  <c r="AI78" i="6" a="1"/>
  <c r="AI78" i="6" s="1"/>
  <c r="AI77" i="6" a="1"/>
  <c r="AI77" i="6" s="1"/>
  <c r="S76" i="6" a="1"/>
  <c r="S76" i="6" s="1"/>
  <c r="G76" i="6" a="1"/>
  <c r="G76" i="6" s="1"/>
  <c r="R75" i="6" a="1"/>
  <c r="R75" i="6" s="1"/>
  <c r="S150" i="6" a="1"/>
  <c r="S150" i="6" s="1"/>
  <c r="R133" i="6" a="1"/>
  <c r="R133" i="6" s="1"/>
  <c r="S124" i="6" a="1"/>
  <c r="S124" i="6" s="1"/>
  <c r="AI115" i="6" a="1"/>
  <c r="AI115" i="6" s="1"/>
  <c r="S106" i="6" a="1"/>
  <c r="S106" i="6" s="1"/>
  <c r="H96" i="6" a="1"/>
  <c r="H96" i="6" s="1"/>
  <c r="Q94" i="6" a="1"/>
  <c r="Q94" i="6" s="1"/>
  <c r="Q88" i="6" a="1"/>
  <c r="Q88" i="6" s="1"/>
  <c r="F88" i="6" a="1"/>
  <c r="F88" i="6" s="1"/>
  <c r="P87" i="6" a="1"/>
  <c r="P87" i="6" s="1"/>
  <c r="AI86" i="6" a="1"/>
  <c r="AI86" i="6" s="1"/>
  <c r="I86" i="6" a="1"/>
  <c r="I86" i="6" s="1"/>
  <c r="AI84" i="6" a="1"/>
  <c r="AI84" i="6" s="1"/>
  <c r="Q84" i="6" a="1"/>
  <c r="Q84" i="6" s="1"/>
  <c r="Q82" i="6" a="1"/>
  <c r="Q82" i="6" s="1"/>
  <c r="I81" i="6" a="1"/>
  <c r="I81" i="6" s="1"/>
  <c r="S80" i="6" a="1"/>
  <c r="S80" i="6" s="1"/>
  <c r="P78" i="6" a="1"/>
  <c r="P78" i="6" s="1"/>
  <c r="I77" i="6" a="1"/>
  <c r="I77" i="6" s="1"/>
  <c r="R76" i="6" a="1"/>
  <c r="R76" i="6" s="1"/>
  <c r="F76" i="6" a="1"/>
  <c r="F76" i="6" s="1"/>
  <c r="Q75" i="6" a="1"/>
  <c r="Q75" i="6" s="1"/>
  <c r="F75" i="6" a="1"/>
  <c r="F75" i="6" s="1"/>
  <c r="P74" i="6" a="1"/>
  <c r="P74" i="6" s="1"/>
  <c r="H73" i="6" a="1"/>
  <c r="H73" i="6" s="1"/>
  <c r="R71" i="6" a="1"/>
  <c r="R71" i="6" s="1"/>
  <c r="AI70" i="6" a="1"/>
  <c r="AI70" i="6" s="1"/>
  <c r="S149" i="6" a="1"/>
  <c r="S149" i="6" s="1"/>
  <c r="R132" i="6" a="1"/>
  <c r="R132" i="6" s="1"/>
  <c r="R123" i="6" a="1"/>
  <c r="R123" i="6" s="1"/>
  <c r="S114" i="6" a="1"/>
  <c r="S114" i="6" s="1"/>
  <c r="P99" i="6" a="1"/>
  <c r="P99" i="6" s="1"/>
  <c r="G96" i="6" a="1"/>
  <c r="G96" i="6" s="1"/>
  <c r="I94" i="6" a="1"/>
  <c r="I94" i="6" s="1"/>
  <c r="S92" i="6" a="1"/>
  <c r="S92" i="6" s="1"/>
  <c r="R89" i="6" a="1"/>
  <c r="R89" i="6" s="1"/>
  <c r="F89" i="6" a="1"/>
  <c r="F89" i="6" s="1"/>
  <c r="P88" i="6" a="1"/>
  <c r="P88" i="6" s="1"/>
  <c r="Y86" i="6" a="1"/>
  <c r="Y86" i="6" s="1"/>
  <c r="Y85" i="6" a="1"/>
  <c r="Y85" i="6" s="1"/>
  <c r="H85" i="6" a="1"/>
  <c r="H85" i="6" s="1"/>
  <c r="P84" i="6" a="1"/>
  <c r="P84" i="6" s="1"/>
  <c r="Y83" i="6" a="1"/>
  <c r="Y83" i="6" s="1"/>
  <c r="H83" i="6" a="1"/>
  <c r="H83" i="6" s="1"/>
  <c r="Y81" i="6" a="1"/>
  <c r="Y81" i="6" s="1"/>
  <c r="H81" i="6" a="1"/>
  <c r="H81" i="6" s="1"/>
  <c r="R80" i="6" a="1"/>
  <c r="R80" i="6" s="1"/>
  <c r="F80" i="6" a="1"/>
  <c r="F80" i="6" s="1"/>
  <c r="Y79" i="6" a="1"/>
  <c r="Y79" i="6" s="1"/>
  <c r="I79" i="6" a="1"/>
  <c r="I79" i="6" s="1"/>
  <c r="I78" i="6" a="1"/>
  <c r="I78" i="6" s="1"/>
  <c r="Y77" i="6" a="1"/>
  <c r="Y77" i="6" s="1"/>
  <c r="H77" i="6" a="1"/>
  <c r="H77" i="6" s="1"/>
  <c r="P75" i="6" a="1"/>
  <c r="P75" i="6" s="1"/>
  <c r="I74" i="6" a="1"/>
  <c r="I74" i="6" s="1"/>
  <c r="R73" i="6" a="1"/>
  <c r="R73" i="6" s="1"/>
  <c r="G73" i="6" a="1"/>
  <c r="G73" i="6" s="1"/>
  <c r="R72" i="6" a="1"/>
  <c r="R72" i="6" s="1"/>
  <c r="G72" i="6" a="1"/>
  <c r="G72" i="6" s="1"/>
  <c r="Q71" i="6" a="1"/>
  <c r="Q71" i="6" s="1"/>
  <c r="P70" i="6" a="1"/>
  <c r="P70" i="6" s="1"/>
  <c r="AI69" i="6" a="1"/>
  <c r="AI69" i="6" s="1"/>
  <c r="P67" i="6" a="1"/>
  <c r="P67" i="6" s="1"/>
  <c r="AI65" i="6" a="1"/>
  <c r="AI65" i="6" s="1"/>
  <c r="G65" i="6" a="1"/>
  <c r="G65" i="6" s="1"/>
  <c r="I64" i="6" a="1"/>
  <c r="I64" i="6" s="1"/>
  <c r="P63" i="6" a="1"/>
  <c r="P63" i="6" s="1"/>
  <c r="P62" i="6" a="1"/>
  <c r="P62" i="6" s="1"/>
  <c r="AI61" i="6" a="1"/>
  <c r="AI61" i="6" s="1"/>
  <c r="Q61" i="6" a="1"/>
  <c r="Q61" i="6" s="1"/>
  <c r="AI60" i="6" a="1"/>
  <c r="AI60" i="6" s="1"/>
  <c r="AI59" i="6" a="1"/>
  <c r="AI59" i="6" s="1"/>
  <c r="P59" i="6" a="1"/>
  <c r="P59" i="6" s="1"/>
  <c r="I58" i="6" a="1"/>
  <c r="I58" i="6" s="1"/>
  <c r="AI57" i="6" a="1"/>
  <c r="AI57" i="6" s="1"/>
  <c r="G57" i="6" a="1"/>
  <c r="G57" i="6" s="1"/>
  <c r="S56" i="6" a="1"/>
  <c r="S56" i="6" s="1"/>
  <c r="Q55" i="6" a="1"/>
  <c r="Q55" i="6" s="1"/>
  <c r="AI54" i="6" a="1"/>
  <c r="AI54" i="6" s="1"/>
  <c r="P54" i="6" a="1"/>
  <c r="P54" i="6" s="1"/>
  <c r="P148" i="6" a="1"/>
  <c r="P148" i="6" s="1"/>
  <c r="AI139" i="6" a="1"/>
  <c r="AI139" i="6" s="1"/>
  <c r="AI131" i="6" a="1"/>
  <c r="AI131" i="6" s="1"/>
  <c r="P122" i="6" a="1"/>
  <c r="P122" i="6" s="1"/>
  <c r="S113" i="6" a="1"/>
  <c r="S113" i="6" s="1"/>
  <c r="Q98" i="6" a="1"/>
  <c r="Q98" i="6" s="1"/>
  <c r="Y95" i="6" a="1"/>
  <c r="Y95" i="6" s="1"/>
  <c r="F94" i="6" a="1"/>
  <c r="F94" i="6" s="1"/>
  <c r="I92" i="6" a="1"/>
  <c r="I92" i="6" s="1"/>
  <c r="R90" i="6" a="1"/>
  <c r="R90" i="6" s="1"/>
  <c r="Q89" i="6" a="1"/>
  <c r="Q89" i="6" s="1"/>
  <c r="AI88" i="6" a="1"/>
  <c r="AI88" i="6" s="1"/>
  <c r="I88" i="6" a="1"/>
  <c r="I88" i="6" s="1"/>
  <c r="I87" i="6" a="1"/>
  <c r="I87" i="6" s="1"/>
  <c r="S86" i="6" a="1"/>
  <c r="S86" i="6" s="1"/>
  <c r="H86" i="6" a="1"/>
  <c r="H86" i="6" s="1"/>
  <c r="G85" i="6" a="1"/>
  <c r="G85" i="6" s="1"/>
  <c r="I84" i="6" a="1"/>
  <c r="I84" i="6" s="1"/>
  <c r="G83" i="6" a="1"/>
  <c r="G83" i="6" s="1"/>
  <c r="P82" i="6" a="1"/>
  <c r="P82" i="6" s="1"/>
  <c r="S81" i="6" a="1"/>
  <c r="S81" i="6" s="1"/>
  <c r="G81" i="6" a="1"/>
  <c r="G81" i="6" s="1"/>
  <c r="S79" i="6" a="1"/>
  <c r="S79" i="6" s="1"/>
  <c r="H79" i="6" a="1"/>
  <c r="H79" i="6" s="1"/>
  <c r="H78" i="6" a="1"/>
  <c r="H78" i="6" s="1"/>
  <c r="G77" i="6" a="1"/>
  <c r="G77" i="6" s="1"/>
  <c r="Q76" i="6" a="1"/>
  <c r="Q76" i="6" s="1"/>
  <c r="AI75" i="6" a="1"/>
  <c r="AI75" i="6" s="1"/>
  <c r="AI74" i="6" a="1"/>
  <c r="AI74" i="6" s="1"/>
  <c r="Q73" i="6" a="1"/>
  <c r="Q73" i="6" s="1"/>
  <c r="F73" i="6" a="1"/>
  <c r="F73" i="6" s="1"/>
  <c r="Q72" i="6" a="1"/>
  <c r="Q72" i="6" s="1"/>
  <c r="F72" i="6" a="1"/>
  <c r="F72" i="6" s="1"/>
  <c r="P71" i="6" a="1"/>
  <c r="P71" i="6" s="1"/>
  <c r="I70" i="6" a="1"/>
  <c r="I70" i="6" s="1"/>
  <c r="I69" i="6" a="1"/>
  <c r="I69" i="6" s="1"/>
  <c r="Q68" i="6" a="1"/>
  <c r="Q68" i="6" s="1"/>
  <c r="Y67" i="6" a="1"/>
  <c r="Y67" i="6" s="1"/>
  <c r="AI66" i="6" a="1"/>
  <c r="AI66" i="6" s="1"/>
  <c r="P66" i="6" a="1"/>
  <c r="P66" i="6" s="1"/>
  <c r="S65" i="6" a="1"/>
  <c r="S65" i="6" s="1"/>
  <c r="S64" i="6" a="1"/>
  <c r="S64" i="6" s="1"/>
  <c r="H64" i="6" a="1"/>
  <c r="H64" i="6" s="1"/>
  <c r="AI62" i="6" a="1"/>
  <c r="AI62" i="6" s="1"/>
  <c r="P61" i="6" a="1"/>
  <c r="P61" i="6" s="1"/>
  <c r="Y60" i="6" a="1"/>
  <c r="Y60" i="6" s="1"/>
  <c r="I60" i="6" a="1"/>
  <c r="I60" i="6" s="1"/>
  <c r="Y58" i="6" a="1"/>
  <c r="Y58" i="6" s="1"/>
  <c r="H58" i="6" a="1"/>
  <c r="H58" i="6" s="1"/>
  <c r="Y57" i="6" a="1"/>
  <c r="Y57" i="6" s="1"/>
  <c r="F57" i="6" a="1"/>
  <c r="F57" i="6" s="1"/>
  <c r="R56" i="6" a="1"/>
  <c r="R56" i="6" s="1"/>
  <c r="P55" i="6" a="1"/>
  <c r="P55" i="6" s="1"/>
  <c r="S157" i="6" a="1"/>
  <c r="S157" i="6" s="1"/>
  <c r="P147" i="6" a="1"/>
  <c r="P147" i="6" s="1"/>
  <c r="S138" i="6" a="1"/>
  <c r="S138" i="6" s="1"/>
  <c r="S130" i="6" a="1"/>
  <c r="S130" i="6" s="1"/>
  <c r="Q112" i="6" a="1"/>
  <c r="Q112" i="6" s="1"/>
  <c r="AI97" i="6" a="1"/>
  <c r="AI97" i="6" s="1"/>
  <c r="S95" i="6" a="1"/>
  <c r="S95" i="6" s="1"/>
  <c r="AI93" i="6" a="1"/>
  <c r="AI93" i="6" s="1"/>
  <c r="H92" i="6" a="1"/>
  <c r="H92" i="6" s="1"/>
  <c r="P90" i="6" a="1"/>
  <c r="P90" i="6" s="1"/>
  <c r="Y87" i="6" a="1"/>
  <c r="Y87" i="6" s="1"/>
  <c r="H87" i="6" a="1"/>
  <c r="H87" i="6" s="1"/>
  <c r="S85" i="6" a="1"/>
  <c r="S85" i="6" s="1"/>
  <c r="F85" i="6" a="1"/>
  <c r="F85" i="6" s="1"/>
  <c r="H84" i="6" a="1"/>
  <c r="H84" i="6" s="1"/>
  <c r="S83" i="6" a="1"/>
  <c r="S83" i="6" s="1"/>
  <c r="F83" i="6" a="1"/>
  <c r="F83" i="6" s="1"/>
  <c r="I82" i="6" a="1"/>
  <c r="I82" i="6" s="1"/>
  <c r="F81" i="6" a="1"/>
  <c r="F81" i="6" s="1"/>
  <c r="Q80" i="6" a="1"/>
  <c r="Q80" i="6" s="1"/>
  <c r="G79" i="6" a="1"/>
  <c r="G79" i="6" s="1"/>
  <c r="Y78" i="6" a="1"/>
  <c r="Y78" i="6" s="1"/>
  <c r="S77" i="6" a="1"/>
  <c r="S77" i="6" s="1"/>
  <c r="F77" i="6" a="1"/>
  <c r="F77" i="6" s="1"/>
  <c r="P76" i="6" a="1"/>
  <c r="P76" i="6" s="1"/>
  <c r="I75" i="6" a="1"/>
  <c r="I75" i="6" s="1"/>
  <c r="Y74" i="6" a="1"/>
  <c r="Y74" i="6" s="1"/>
  <c r="H74" i="6" a="1"/>
  <c r="H74" i="6" s="1"/>
  <c r="AI73" i="6" a="1"/>
  <c r="AI73" i="6" s="1"/>
  <c r="AI71" i="6" a="1"/>
  <c r="AI71" i="6" s="1"/>
  <c r="I71" i="6" a="1"/>
  <c r="I71" i="6" s="1"/>
  <c r="Y70" i="6" a="1"/>
  <c r="Y70" i="6" s="1"/>
  <c r="H70" i="6" a="1"/>
  <c r="H70" i="6" s="1"/>
  <c r="Y69" i="6" a="1"/>
  <c r="Y69" i="6" s="1"/>
  <c r="AI68" i="6" a="1"/>
  <c r="AI68" i="6" s="1"/>
  <c r="P68" i="6" a="1"/>
  <c r="P68" i="6" s="1"/>
  <c r="I67" i="6" a="1"/>
  <c r="I67" i="6" s="1"/>
  <c r="Q156" i="6" a="1"/>
  <c r="Q156" i="6" s="1"/>
  <c r="S137" i="6" a="1"/>
  <c r="S137" i="6" s="1"/>
  <c r="R111" i="6" a="1"/>
  <c r="R111" i="6" s="1"/>
  <c r="I97" i="6" a="1"/>
  <c r="I97" i="6" s="1"/>
  <c r="I95" i="6" a="1"/>
  <c r="I95" i="6" s="1"/>
  <c r="Y93" i="6" a="1"/>
  <c r="Y93" i="6" s="1"/>
  <c r="P89" i="6" a="1"/>
  <c r="P89" i="6" s="1"/>
  <c r="Y88" i="6" a="1"/>
  <c r="Y88" i="6" s="1"/>
  <c r="H88" i="6" a="1"/>
  <c r="H88" i="6" s="1"/>
  <c r="S87" i="6" a="1"/>
  <c r="S87" i="6" s="1"/>
  <c r="G87" i="6" a="1"/>
  <c r="G87" i="6" s="1"/>
  <c r="R86" i="6" a="1"/>
  <c r="R86" i="6" s="1"/>
  <c r="G86" i="6" a="1"/>
  <c r="G86" i="6" s="1"/>
  <c r="R85" i="6" a="1"/>
  <c r="R85" i="6" s="1"/>
  <c r="Y84" i="6" a="1"/>
  <c r="Y84" i="6" s="1"/>
  <c r="G84" i="6" a="1"/>
  <c r="G84" i="6" s="1"/>
  <c r="R83" i="6" a="1"/>
  <c r="R83" i="6" s="1"/>
  <c r="AI82" i="6" a="1"/>
  <c r="AI82" i="6" s="1"/>
  <c r="H82" i="6" a="1"/>
  <c r="H82" i="6" s="1"/>
  <c r="AI81" i="6" a="1"/>
  <c r="AI81" i="6" s="1"/>
  <c r="R81" i="6" a="1"/>
  <c r="R81" i="6" s="1"/>
  <c r="P80" i="6" a="1"/>
  <c r="P80" i="6" s="1"/>
  <c r="AI79" i="6" a="1"/>
  <c r="AI79" i="6" s="1"/>
  <c r="R79" i="6" a="1"/>
  <c r="R79" i="6" s="1"/>
  <c r="F79" i="6" a="1"/>
  <c r="F79" i="6" s="1"/>
  <c r="S78" i="6" a="1"/>
  <c r="S78" i="6" s="1"/>
  <c r="G78" i="6" a="1"/>
  <c r="G78" i="6" s="1"/>
  <c r="R77" i="6" a="1"/>
  <c r="R77" i="6" s="1"/>
  <c r="AI76" i="6" a="1"/>
  <c r="AI76" i="6" s="1"/>
  <c r="Q128" i="6" a="1"/>
  <c r="Q128" i="6" s="1"/>
  <c r="G97" i="6" a="1"/>
  <c r="G97" i="6" s="1"/>
  <c r="AI87" i="6" a="1"/>
  <c r="AI87" i="6" s="1"/>
  <c r="F86" i="6" a="1"/>
  <c r="F86" i="6" s="1"/>
  <c r="F78" i="6" a="1"/>
  <c r="F78" i="6" s="1"/>
  <c r="H76" i="6" a="1"/>
  <c r="H76" i="6" s="1"/>
  <c r="S74" i="6" a="1"/>
  <c r="S74" i="6" s="1"/>
  <c r="AI72" i="6" a="1"/>
  <c r="AI72" i="6" s="1"/>
  <c r="S70" i="6" a="1"/>
  <c r="S70" i="6" s="1"/>
  <c r="G69" i="6" a="1"/>
  <c r="G69" i="6" s="1"/>
  <c r="R68" i="6" a="1"/>
  <c r="R68" i="6" s="1"/>
  <c r="H67" i="6" a="1"/>
  <c r="H67" i="6" s="1"/>
  <c r="P65" i="6" a="1"/>
  <c r="P65" i="6" s="1"/>
  <c r="G64" i="6" a="1"/>
  <c r="G64" i="6" s="1"/>
  <c r="G63" i="6" a="1"/>
  <c r="G63" i="6" s="1"/>
  <c r="I62" i="6" a="1"/>
  <c r="I62" i="6" s="1"/>
  <c r="S61" i="6" a="1"/>
  <c r="S61" i="6" s="1"/>
  <c r="G61" i="6" a="1"/>
  <c r="G61" i="6" s="1"/>
  <c r="H60" i="6" a="1"/>
  <c r="H60" i="6" s="1"/>
  <c r="S59" i="6" a="1"/>
  <c r="S59" i="6" s="1"/>
  <c r="F59" i="6" a="1"/>
  <c r="F59" i="6" s="1"/>
  <c r="G58" i="6" a="1"/>
  <c r="G58" i="6" s="1"/>
  <c r="Q57" i="6" a="1"/>
  <c r="Q57" i="6" s="1"/>
  <c r="AI55" i="6" a="1"/>
  <c r="AI55" i="6" s="1"/>
  <c r="G55" i="6" a="1"/>
  <c r="G55" i="6" s="1"/>
  <c r="R54" i="6" a="1"/>
  <c r="R54" i="6" s="1"/>
  <c r="Y53" i="6" a="1"/>
  <c r="Y53" i="6" s="1"/>
  <c r="S52" i="6" a="1"/>
  <c r="S52" i="6" s="1"/>
  <c r="F52" i="6" a="1"/>
  <c r="F52" i="6" s="1"/>
  <c r="S51" i="6" a="1"/>
  <c r="S51" i="6" s="1"/>
  <c r="F51" i="6" a="1"/>
  <c r="F51" i="6" s="1"/>
  <c r="S50" i="6" a="1"/>
  <c r="S50" i="6" s="1"/>
  <c r="R49" i="6" a="1"/>
  <c r="R49" i="6" s="1"/>
  <c r="F49" i="6" a="1"/>
  <c r="F49" i="6" s="1"/>
  <c r="P47" i="6" a="1"/>
  <c r="P47" i="6" s="1"/>
  <c r="P46" i="6" a="1"/>
  <c r="P46" i="6" s="1"/>
  <c r="P45" i="6" a="1"/>
  <c r="P45" i="6" s="1"/>
  <c r="AI43" i="6" a="1"/>
  <c r="AI43" i="6" s="1"/>
  <c r="AI42" i="6" a="1"/>
  <c r="AI42" i="6" s="1"/>
  <c r="Q42" i="6" a="1"/>
  <c r="Q42" i="6" s="1"/>
  <c r="F42" i="6" a="1"/>
  <c r="F42" i="6" s="1"/>
  <c r="Q41" i="6" a="1"/>
  <c r="Q41" i="6" s="1"/>
  <c r="F41" i="6" a="1"/>
  <c r="F41" i="6" s="1"/>
  <c r="R40" i="6" a="1"/>
  <c r="R40" i="6" s="1"/>
  <c r="R39" i="6" a="1"/>
  <c r="R39" i="6" s="1"/>
  <c r="G38" i="6" a="1"/>
  <c r="G38" i="6" s="1"/>
  <c r="G37" i="6" a="1"/>
  <c r="G37" i="6" s="1"/>
  <c r="P127" i="6" a="1"/>
  <c r="P127" i="6" s="1"/>
  <c r="Y89" i="6" a="1"/>
  <c r="Y89" i="6" s="1"/>
  <c r="F84" i="6" a="1"/>
  <c r="F84" i="6" s="1"/>
  <c r="Y75" i="6" a="1"/>
  <c r="Y75" i="6" s="1"/>
  <c r="Y73" i="6" a="1"/>
  <c r="Y73" i="6" s="1"/>
  <c r="Y71" i="6" a="1"/>
  <c r="Y71" i="6" s="1"/>
  <c r="I68" i="6" a="1"/>
  <c r="I68" i="6" s="1"/>
  <c r="AI67" i="6" a="1"/>
  <c r="AI67" i="6" s="1"/>
  <c r="G67" i="6" a="1"/>
  <c r="G67" i="6" s="1"/>
  <c r="Q66" i="6" a="1"/>
  <c r="Q66" i="6" s="1"/>
  <c r="I65" i="6" a="1"/>
  <c r="I65" i="6" s="1"/>
  <c r="Y64" i="6" a="1"/>
  <c r="Y64" i="6" s="1"/>
  <c r="R63" i="6" a="1"/>
  <c r="R63" i="6" s="1"/>
  <c r="F63" i="6" a="1"/>
  <c r="F63" i="6" s="1"/>
  <c r="H62" i="6" a="1"/>
  <c r="H62" i="6" s="1"/>
  <c r="F61" i="6" a="1"/>
  <c r="F61" i="6" s="1"/>
  <c r="R59" i="6" a="1"/>
  <c r="R59" i="6" s="1"/>
  <c r="AI58" i="6" a="1"/>
  <c r="AI58" i="6" s="1"/>
  <c r="F58" i="6" a="1"/>
  <c r="F58" i="6" s="1"/>
  <c r="P57" i="6" a="1"/>
  <c r="P57" i="6" s="1"/>
  <c r="Y56" i="6" a="1"/>
  <c r="Y56" i="6" s="1"/>
  <c r="F55" i="6" a="1"/>
  <c r="F55" i="6" s="1"/>
  <c r="Q54" i="6" a="1"/>
  <c r="Q54" i="6" s="1"/>
  <c r="S53" i="6" a="1"/>
  <c r="S53" i="6" s="1"/>
  <c r="G53" i="6" a="1"/>
  <c r="G53" i="6" s="1"/>
  <c r="R52" i="6" a="1"/>
  <c r="R52" i="6" s="1"/>
  <c r="AI51" i="6" a="1"/>
  <c r="AI51" i="6" s="1"/>
  <c r="R51" i="6" a="1"/>
  <c r="R51" i="6" s="1"/>
  <c r="R50" i="6" a="1"/>
  <c r="R50" i="6" s="1"/>
  <c r="AI48" i="6" a="1"/>
  <c r="AI48" i="6" s="1"/>
  <c r="Q48" i="6" a="1"/>
  <c r="Q48" i="6" s="1"/>
  <c r="I47" i="6" a="1"/>
  <c r="I47" i="6" s="1"/>
  <c r="I46" i="6" a="1"/>
  <c r="I46" i="6" s="1"/>
  <c r="I45" i="6" a="1"/>
  <c r="I45" i="6" s="1"/>
  <c r="P44" i="6" a="1"/>
  <c r="P44" i="6" s="1"/>
  <c r="P43" i="6" a="1"/>
  <c r="P43" i="6" s="1"/>
  <c r="AI41" i="6" a="1"/>
  <c r="AI41" i="6" s="1"/>
  <c r="AI40" i="6" a="1"/>
  <c r="AI40" i="6" s="1"/>
  <c r="Q40" i="6" a="1"/>
  <c r="Q40" i="6" s="1"/>
  <c r="F40" i="6" a="1"/>
  <c r="F40" i="6" s="1"/>
  <c r="Q39" i="6" a="1"/>
  <c r="Q39" i="6" s="1"/>
  <c r="F39" i="6" a="1"/>
  <c r="F39" i="6" s="1"/>
  <c r="R38" i="6" a="1"/>
  <c r="R38" i="6" s="1"/>
  <c r="R37" i="6" a="1"/>
  <c r="R37" i="6" s="1"/>
  <c r="S93" i="6" a="1"/>
  <c r="S93" i="6" s="1"/>
  <c r="Y82" i="6" a="1"/>
  <c r="Y82" i="6" s="1"/>
  <c r="AI80" i="6" a="1"/>
  <c r="AI80" i="6" s="1"/>
  <c r="G74" i="6" a="1"/>
  <c r="G74" i="6" s="1"/>
  <c r="P73" i="6" a="1"/>
  <c r="P73" i="6" s="1"/>
  <c r="P72" i="6" a="1"/>
  <c r="P72" i="6" s="1"/>
  <c r="AI154" i="6" a="1"/>
  <c r="AI154" i="6" s="1"/>
  <c r="P119" i="6" a="1"/>
  <c r="P119" i="6" s="1"/>
  <c r="G95" i="6" a="1"/>
  <c r="G95" i="6" s="1"/>
  <c r="I89" i="6" a="1"/>
  <c r="I89" i="6" s="1"/>
  <c r="R87" i="6" a="1"/>
  <c r="R87" i="6" s="1"/>
  <c r="Q85" i="6" a="1"/>
  <c r="Q85" i="6" s="1"/>
  <c r="Q83" i="6" a="1"/>
  <c r="Q83" i="6" s="1"/>
  <c r="Q81" i="6" a="1"/>
  <c r="Q81" i="6" s="1"/>
  <c r="Q79" i="6" a="1"/>
  <c r="Q79" i="6" s="1"/>
  <c r="Q77" i="6" a="1"/>
  <c r="Q77" i="6" s="1"/>
  <c r="R74" i="6" a="1"/>
  <c r="R74" i="6" s="1"/>
  <c r="Y72" i="6" a="1"/>
  <c r="Y72" i="6" s="1"/>
  <c r="S71" i="6" a="1"/>
  <c r="S71" i="6" s="1"/>
  <c r="R70" i="6" a="1"/>
  <c r="R70" i="6" s="1"/>
  <c r="S69" i="6" a="1"/>
  <c r="S69" i="6" s="1"/>
  <c r="F69" i="6" a="1"/>
  <c r="F69" i="6" s="1"/>
  <c r="H68" i="6" a="1"/>
  <c r="H68" i="6" s="1"/>
  <c r="F67" i="6" a="1"/>
  <c r="F67" i="6" s="1"/>
  <c r="I66" i="6" a="1"/>
  <c r="I66" i="6" s="1"/>
  <c r="R64" i="6" a="1"/>
  <c r="R64" i="6" s="1"/>
  <c r="F64" i="6" a="1"/>
  <c r="F64" i="6" s="1"/>
  <c r="R61" i="6" a="1"/>
  <c r="R61" i="6" s="1"/>
  <c r="G60" i="6" a="1"/>
  <c r="G60" i="6" s="1"/>
  <c r="I57" i="6" a="1"/>
  <c r="I57" i="6" s="1"/>
  <c r="Q56" i="6" a="1"/>
  <c r="Q56" i="6" s="1"/>
  <c r="I54" i="6" a="1"/>
  <c r="I54" i="6" s="1"/>
  <c r="R53" i="6" a="1"/>
  <c r="R53" i="6" s="1"/>
  <c r="F53" i="6" a="1"/>
  <c r="F53" i="6" s="1"/>
  <c r="Q52" i="6" a="1"/>
  <c r="Q52" i="6" s="1"/>
  <c r="Q50" i="6" a="1"/>
  <c r="Q50" i="6" s="1"/>
  <c r="Q49" i="6" a="1"/>
  <c r="Q49" i="6" s="1"/>
  <c r="P48" i="6" a="1"/>
  <c r="P48" i="6" s="1"/>
  <c r="Y47" i="6" a="1"/>
  <c r="Y47" i="6" s="1"/>
  <c r="Y46" i="6" a="1"/>
  <c r="Y46" i="6" s="1"/>
  <c r="Y45" i="6" a="1"/>
  <c r="Y45" i="6" s="1"/>
  <c r="I44" i="6" a="1"/>
  <c r="I44" i="6" s="1"/>
  <c r="I43" i="6" a="1"/>
  <c r="I43" i="6" s="1"/>
  <c r="P42" i="6" a="1"/>
  <c r="P42" i="6" s="1"/>
  <c r="P41" i="6" a="1"/>
  <c r="P41" i="6" s="1"/>
  <c r="AI39" i="6" a="1"/>
  <c r="AI39" i="6" s="1"/>
  <c r="AI38" i="6" a="1"/>
  <c r="AI38" i="6" s="1"/>
  <c r="Q38" i="6" a="1"/>
  <c r="Q38" i="6" s="1"/>
  <c r="F38" i="6" a="1"/>
  <c r="F38" i="6" s="1"/>
  <c r="Q37" i="6" a="1"/>
  <c r="Q37" i="6" s="1"/>
  <c r="F37" i="6" a="1"/>
  <c r="F37" i="6" s="1"/>
  <c r="R153" i="6" a="1"/>
  <c r="R153" i="6" s="1"/>
  <c r="AI117" i="6" a="1"/>
  <c r="AI117" i="6" s="1"/>
  <c r="H89" i="6" a="1"/>
  <c r="H89" i="6" s="1"/>
  <c r="Q87" i="6" a="1"/>
  <c r="Q87" i="6" s="1"/>
  <c r="P85" i="6" a="1"/>
  <c r="P85" i="6" s="1"/>
  <c r="P83" i="6" a="1"/>
  <c r="P83" i="6" s="1"/>
  <c r="P81" i="6" a="1"/>
  <c r="P81" i="6" s="1"/>
  <c r="P77" i="6" a="1"/>
  <c r="P77" i="6" s="1"/>
  <c r="S75" i="6" a="1"/>
  <c r="S75" i="6" s="1"/>
  <c r="Q74" i="6" a="1"/>
  <c r="Q74" i="6" s="1"/>
  <c r="S73" i="6" a="1"/>
  <c r="S73" i="6" s="1"/>
  <c r="S72" i="6" a="1"/>
  <c r="S72" i="6" s="1"/>
  <c r="G68" i="6" a="1"/>
  <c r="G68" i="6" s="1"/>
  <c r="S67" i="6" a="1"/>
  <c r="S67" i="6" s="1"/>
  <c r="H65" i="6" a="1"/>
  <c r="H65" i="6" s="1"/>
  <c r="AI63" i="6" a="1"/>
  <c r="AI63" i="6" s="1"/>
  <c r="Q63" i="6" a="1"/>
  <c r="Q63" i="6" s="1"/>
  <c r="Y62" i="6" a="1"/>
  <c r="Y62" i="6" s="1"/>
  <c r="G62" i="6" a="1"/>
  <c r="G62" i="6" s="1"/>
  <c r="S60" i="6" a="1"/>
  <c r="S60" i="6" s="1"/>
  <c r="F60" i="6" a="1"/>
  <c r="F60" i="6" s="1"/>
  <c r="Q59" i="6" a="1"/>
  <c r="Q59" i="6" s="1"/>
  <c r="S58" i="6" a="1"/>
  <c r="S58" i="6" s="1"/>
  <c r="H57" i="6" a="1"/>
  <c r="H57" i="6" s="1"/>
  <c r="P56" i="6" a="1"/>
  <c r="P56" i="6" s="1"/>
  <c r="Y55" i="6" a="1"/>
  <c r="Y55" i="6" s="1"/>
  <c r="H54" i="6" a="1"/>
  <c r="H54" i="6" s="1"/>
  <c r="P52" i="6" a="1"/>
  <c r="P52" i="6" s="1"/>
  <c r="Q51" i="6" a="1"/>
  <c r="Q51" i="6" s="1"/>
  <c r="P50" i="6" a="1"/>
  <c r="P50" i="6" s="1"/>
  <c r="AI49" i="6" a="1"/>
  <c r="AI49" i="6" s="1"/>
  <c r="P49" i="6" a="1"/>
  <c r="P49" i="6" s="1"/>
  <c r="I48" i="6" a="1"/>
  <c r="I48" i="6" s="1"/>
  <c r="H47" i="6" a="1"/>
  <c r="H47" i="6" s="1"/>
  <c r="S46" i="6" a="1"/>
  <c r="S46" i="6" s="1"/>
  <c r="H46" i="6" a="1"/>
  <c r="H46" i="6" s="1"/>
  <c r="S45" i="6" a="1"/>
  <c r="S45" i="6" s="1"/>
  <c r="H45" i="6" a="1"/>
  <c r="H45" i="6" s="1"/>
  <c r="Y44" i="6" a="1"/>
  <c r="Y44" i="6" s="1"/>
  <c r="Y43" i="6" a="1"/>
  <c r="Y43" i="6" s="1"/>
  <c r="I42" i="6" a="1"/>
  <c r="I42" i="6" s="1"/>
  <c r="I41" i="6" a="1"/>
  <c r="I41" i="6" s="1"/>
  <c r="P40" i="6" a="1"/>
  <c r="P40" i="6" s="1"/>
  <c r="P39" i="6" a="1"/>
  <c r="P39" i="6" s="1"/>
  <c r="AI37" i="6" a="1"/>
  <c r="AI37" i="6" s="1"/>
  <c r="AI108" i="6" a="1"/>
  <c r="AI108" i="6" s="1"/>
  <c r="I93" i="6" a="1"/>
  <c r="I93" i="6" s="1"/>
  <c r="F87" i="6" a="1"/>
  <c r="F87" i="6" s="1"/>
  <c r="S82" i="6" a="1"/>
  <c r="S82" i="6" s="1"/>
  <c r="Y76" i="6" a="1"/>
  <c r="Y76" i="6" s="1"/>
  <c r="H75" i="6" a="1"/>
  <c r="H75" i="6" s="1"/>
  <c r="I72" i="6" a="1"/>
  <c r="I72" i="6" s="1"/>
  <c r="H71" i="6" a="1"/>
  <c r="H71" i="6" s="1"/>
  <c r="Q69" i="6" a="1"/>
  <c r="Q69" i="6" s="1"/>
  <c r="Y68" i="6" a="1"/>
  <c r="Y68" i="6" s="1"/>
  <c r="F68" i="6" a="1"/>
  <c r="F68" i="6" s="1"/>
  <c r="R67" i="6" a="1"/>
  <c r="R67" i="6" s="1"/>
  <c r="Y66" i="6" a="1"/>
  <c r="Y66" i="6" s="1"/>
  <c r="G66" i="6" a="1"/>
  <c r="G66" i="6" s="1"/>
  <c r="Y65" i="6" a="1"/>
  <c r="Y65" i="6" s="1"/>
  <c r="R62" i="6" a="1"/>
  <c r="R62" i="6" s="1"/>
  <c r="F62" i="6" a="1"/>
  <c r="F62" i="6" s="1"/>
  <c r="I61" i="6" a="1"/>
  <c r="I61" i="6" s="1"/>
  <c r="H59" i="6" a="1"/>
  <c r="H59" i="6" s="1"/>
  <c r="Q58" i="6" a="1"/>
  <c r="Q58" i="6" s="1"/>
  <c r="H56" i="6" a="1"/>
  <c r="H56" i="6" s="1"/>
  <c r="R55" i="6" a="1"/>
  <c r="R55" i="6" s="1"/>
  <c r="F54" i="6" a="1"/>
  <c r="F54" i="6" s="1"/>
  <c r="P53" i="6" a="1"/>
  <c r="P53" i="6" s="1"/>
  <c r="I52" i="6" a="1"/>
  <c r="I52" i="6" s="1"/>
  <c r="I51" i="6" a="1"/>
  <c r="I51" i="6" s="1"/>
  <c r="AI50" i="6" a="1"/>
  <c r="AI50" i="6" s="1"/>
  <c r="H50" i="6" a="1"/>
  <c r="H50" i="6" s="1"/>
  <c r="I49" i="6" a="1"/>
  <c r="I49" i="6" s="1"/>
  <c r="G48" i="6" a="1"/>
  <c r="G48" i="6" s="1"/>
  <c r="R47" i="6" a="1"/>
  <c r="R47" i="6" s="1"/>
  <c r="R46" i="6" a="1"/>
  <c r="R46" i="6" s="1"/>
  <c r="R45" i="6" a="1"/>
  <c r="R45" i="6" s="1"/>
  <c r="G44" i="6" a="1"/>
  <c r="G44" i="6" s="1"/>
  <c r="G43" i="6" a="1"/>
  <c r="G43" i="6" s="1"/>
  <c r="S42" i="6" a="1"/>
  <c r="S42" i="6" s="1"/>
  <c r="H42" i="6" a="1"/>
  <c r="H42" i="6" s="1"/>
  <c r="S41" i="6" a="1"/>
  <c r="S41" i="6" s="1"/>
  <c r="H41" i="6" a="1"/>
  <c r="H41" i="6" s="1"/>
  <c r="Y40" i="6" a="1"/>
  <c r="Y40" i="6" s="1"/>
  <c r="Y39" i="6" a="1"/>
  <c r="Y39" i="6" s="1"/>
  <c r="I38" i="6" a="1"/>
  <c r="I38" i="6" s="1"/>
  <c r="I37" i="6" a="1"/>
  <c r="I37" i="6" s="1"/>
  <c r="AI136" i="6" a="1"/>
  <c r="AI136" i="6" s="1"/>
  <c r="S84" i="6" a="1"/>
  <c r="S84" i="6" s="1"/>
  <c r="I80" i="6" a="1"/>
  <c r="I80" i="6" s="1"/>
  <c r="R78" i="6" a="1"/>
  <c r="R78" i="6" s="1"/>
  <c r="I76" i="6" a="1"/>
  <c r="I76" i="6" s="1"/>
  <c r="G75" i="6" a="1"/>
  <c r="G75" i="6" s="1"/>
  <c r="F74" i="6" a="1"/>
  <c r="F74" i="6" s="1"/>
  <c r="I73" i="6" a="1"/>
  <c r="I73" i="6" s="1"/>
  <c r="G71" i="6" a="1"/>
  <c r="G71" i="6" s="1"/>
  <c r="G70" i="6" a="1"/>
  <c r="G70" i="6" s="1"/>
  <c r="P69" i="6" a="1"/>
  <c r="P69" i="6" s="1"/>
  <c r="S68" i="6" a="1"/>
  <c r="S68" i="6" s="1"/>
  <c r="Q67" i="6" a="1"/>
  <c r="Q67" i="6" s="1"/>
  <c r="S66" i="6" a="1"/>
  <c r="S66" i="6" s="1"/>
  <c r="R65" i="6" a="1"/>
  <c r="R65" i="6" s="1"/>
  <c r="P64" i="6" a="1"/>
  <c r="P64" i="6" s="1"/>
  <c r="Y63" i="6" a="1"/>
  <c r="Y63" i="6" s="1"/>
  <c r="H63" i="6" a="1"/>
  <c r="H63" i="6" s="1"/>
  <c r="Y61" i="6" a="1"/>
  <c r="Y61" i="6" s="1"/>
  <c r="H61" i="6" a="1"/>
  <c r="H61" i="6" s="1"/>
  <c r="Q60" i="6" a="1"/>
  <c r="Q60" i="6" s="1"/>
  <c r="Y59" i="6" a="1"/>
  <c r="Y59" i="6" s="1"/>
  <c r="P58" i="6" a="1"/>
  <c r="P58" i="6" s="1"/>
  <c r="S57" i="6" a="1"/>
  <c r="S57" i="6" s="1"/>
  <c r="G56" i="6" a="1"/>
  <c r="G56" i="6" s="1"/>
  <c r="I55" i="6" a="1"/>
  <c r="I55" i="6" s="1"/>
  <c r="Y54" i="6" a="1"/>
  <c r="Y54" i="6" s="1"/>
  <c r="AI53" i="6" a="1"/>
  <c r="AI53" i="6" s="1"/>
  <c r="I53" i="6" a="1"/>
  <c r="I53" i="6" s="1"/>
  <c r="H52" i="6" a="1"/>
  <c r="H52" i="6" s="1"/>
  <c r="H51" i="6" a="1"/>
  <c r="H51" i="6" s="1"/>
  <c r="Y50" i="6" a="1"/>
  <c r="Y50" i="6" s="1"/>
  <c r="G50" i="6" a="1"/>
  <c r="G50" i="6" s="1"/>
  <c r="Y49" i="6" a="1"/>
  <c r="Y49" i="6" s="1"/>
  <c r="H49" i="6" a="1"/>
  <c r="H49" i="6" s="1"/>
  <c r="S48" i="6" a="1"/>
  <c r="S48" i="6" s="1"/>
  <c r="F48" i="6" a="1"/>
  <c r="F48" i="6" s="1"/>
  <c r="Q47" i="6" a="1"/>
  <c r="Q47" i="6" s="1"/>
  <c r="F47" i="6" a="1"/>
  <c r="F47" i="6" s="1"/>
  <c r="Q46" i="6" a="1"/>
  <c r="Q46" i="6" s="1"/>
  <c r="F46" i="6" a="1"/>
  <c r="F46" i="6" s="1"/>
  <c r="Q45" i="6" a="1"/>
  <c r="Q45" i="6" s="1"/>
  <c r="F45" i="6" a="1"/>
  <c r="F45" i="6" s="1"/>
  <c r="R44" i="6" a="1"/>
  <c r="R44" i="6" s="1"/>
  <c r="R43" i="6" a="1"/>
  <c r="R43" i="6" s="1"/>
  <c r="G42" i="6" a="1"/>
  <c r="G42" i="6" s="1"/>
  <c r="G41" i="6" a="1"/>
  <c r="G41" i="6" s="1"/>
  <c r="S40" i="6" a="1"/>
  <c r="S40" i="6" s="1"/>
  <c r="H40" i="6" a="1"/>
  <c r="H40" i="6" s="1"/>
  <c r="S39" i="6" a="1"/>
  <c r="S39" i="6" s="1"/>
  <c r="H39" i="6" a="1"/>
  <c r="H39" i="6" s="1"/>
  <c r="Y38" i="6" a="1"/>
  <c r="Y38" i="6" s="1"/>
  <c r="R84" i="6" a="1"/>
  <c r="R84" i="6" s="1"/>
  <c r="H72" i="6" a="1"/>
  <c r="H72" i="6" s="1"/>
  <c r="F66" i="6" a="1"/>
  <c r="F66" i="6" s="1"/>
  <c r="S63" i="6" a="1"/>
  <c r="S63" i="6" s="1"/>
  <c r="H55" i="6" a="1"/>
  <c r="H55" i="6" s="1"/>
  <c r="Y52" i="6" a="1"/>
  <c r="Y52" i="6" s="1"/>
  <c r="R48" i="6" a="1"/>
  <c r="R48" i="6" s="1"/>
  <c r="Q44" i="6" a="1"/>
  <c r="Q44" i="6" s="1"/>
  <c r="R42" i="6" a="1"/>
  <c r="R42" i="6" s="1"/>
  <c r="S38" i="6" a="1"/>
  <c r="S38" i="6" s="1"/>
  <c r="S55" i="6" a="1"/>
  <c r="S55" i="6" s="1"/>
  <c r="Y42" i="6" a="1"/>
  <c r="Y42" i="6" s="1"/>
  <c r="G82" i="6" a="1"/>
  <c r="G82" i="6" s="1"/>
  <c r="I63" i="6" a="1"/>
  <c r="I63" i="6" s="1"/>
  <c r="R60" i="6" a="1"/>
  <c r="R60" i="6" s="1"/>
  <c r="I50" i="6" a="1"/>
  <c r="I50" i="6" s="1"/>
  <c r="H48" i="6" a="1"/>
  <c r="H48" i="6" s="1"/>
  <c r="G46" i="6" a="1"/>
  <c r="G46" i="6" s="1"/>
  <c r="H44" i="6" a="1"/>
  <c r="H44" i="6" s="1"/>
  <c r="I40" i="6" a="1"/>
  <c r="I40" i="6" s="1"/>
  <c r="P38" i="6" a="1"/>
  <c r="P38" i="6" s="1"/>
  <c r="R58" i="6" a="1"/>
  <c r="R58" i="6" s="1"/>
  <c r="Q110" i="6" a="1"/>
  <c r="Q110" i="6" s="1"/>
  <c r="H80" i="6" a="1"/>
  <c r="H80" i="6" s="1"/>
  <c r="F71" i="6" a="1"/>
  <c r="F71" i="6" s="1"/>
  <c r="Q65" i="6" a="1"/>
  <c r="Q65" i="6" s="1"/>
  <c r="P60" i="6" a="1"/>
  <c r="P60" i="6" s="1"/>
  <c r="R57" i="6" a="1"/>
  <c r="R57" i="6" s="1"/>
  <c r="S54" i="6" a="1"/>
  <c r="S54" i="6" s="1"/>
  <c r="G52" i="6" a="1"/>
  <c r="G52" i="6" s="1"/>
  <c r="F50" i="6" a="1"/>
  <c r="F50" i="6" s="1"/>
  <c r="AI47" i="6" a="1"/>
  <c r="AI47" i="6" s="1"/>
  <c r="AI45" i="6" a="1"/>
  <c r="AI45" i="6" s="1"/>
  <c r="F44" i="6" a="1"/>
  <c r="F44" i="6" s="1"/>
  <c r="G40" i="6" a="1"/>
  <c r="G40" i="6" s="1"/>
  <c r="H38" i="6" a="1"/>
  <c r="H38" i="6" s="1"/>
  <c r="P101" i="6" a="1"/>
  <c r="P101" i="6" s="1"/>
  <c r="Q78" i="6" a="1"/>
  <c r="Q78" i="6" s="1"/>
  <c r="Q70" i="6" a="1"/>
  <c r="Q70" i="6" s="1"/>
  <c r="F65" i="6" a="1"/>
  <c r="F65" i="6" s="1"/>
  <c r="S62" i="6" a="1"/>
  <c r="S62" i="6" s="1"/>
  <c r="AI56" i="6" a="1"/>
  <c r="AI56" i="6" s="1"/>
  <c r="G54" i="6" a="1"/>
  <c r="G54" i="6" s="1"/>
  <c r="S47" i="6" a="1"/>
  <c r="S47" i="6" s="1"/>
  <c r="S43" i="6" a="1"/>
  <c r="S43" i="6" s="1"/>
  <c r="Y41" i="6" a="1"/>
  <c r="Y41" i="6" s="1"/>
  <c r="H66" i="6" a="1"/>
  <c r="H66" i="6" s="1"/>
  <c r="R91" i="6" a="1"/>
  <c r="R91" i="6" s="1"/>
  <c r="F70" i="6" a="1"/>
  <c r="F70" i="6" s="1"/>
  <c r="AI64" i="6" a="1"/>
  <c r="AI64" i="6" s="1"/>
  <c r="Q62" i="6" a="1"/>
  <c r="Q62" i="6" s="1"/>
  <c r="Y51" i="6" a="1"/>
  <c r="Y51" i="6" s="1"/>
  <c r="S49" i="6" a="1"/>
  <c r="S49" i="6" s="1"/>
  <c r="Q43" i="6" a="1"/>
  <c r="Q43" i="6" s="1"/>
  <c r="R41" i="6" a="1"/>
  <c r="R41" i="6" s="1"/>
  <c r="S37" i="6" a="1"/>
  <c r="S37" i="6" s="1"/>
  <c r="Q86" i="6" a="1"/>
  <c r="Q86" i="6" s="1"/>
  <c r="AI52" i="6" a="1"/>
  <c r="AI52" i="6" s="1"/>
  <c r="Y48" i="6" a="1"/>
  <c r="Y48" i="6" s="1"/>
  <c r="S44" i="6" a="1"/>
  <c r="S44" i="6" s="1"/>
  <c r="S88" i="6" a="1"/>
  <c r="S88" i="6" s="1"/>
  <c r="R69" i="6" a="1"/>
  <c r="R69" i="6" s="1"/>
  <c r="Q64" i="6" a="1"/>
  <c r="Q64" i="6" s="1"/>
  <c r="I59" i="6" a="1"/>
  <c r="I59" i="6" s="1"/>
  <c r="I56" i="6" a="1"/>
  <c r="I56" i="6" s="1"/>
  <c r="Q53" i="6" a="1"/>
  <c r="Q53" i="6" s="1"/>
  <c r="P51" i="6" a="1"/>
  <c r="P51" i="6" s="1"/>
  <c r="G47" i="6" a="1"/>
  <c r="G47" i="6" s="1"/>
  <c r="G45" i="6" a="1"/>
  <c r="G45" i="6" s="1"/>
  <c r="H43" i="6" a="1"/>
  <c r="H43" i="6" s="1"/>
  <c r="I39" i="6" a="1"/>
  <c r="I39" i="6" s="1"/>
  <c r="P37" i="6" a="1"/>
  <c r="P37" i="6" s="1"/>
  <c r="H53" i="6" a="1"/>
  <c r="H53" i="6" s="1"/>
  <c r="G88" i="6" a="1"/>
  <c r="G88" i="6" s="1"/>
  <c r="H69" i="6" a="1"/>
  <c r="H69" i="6" s="1"/>
  <c r="R66" i="6" a="1"/>
  <c r="R66" i="6" s="1"/>
  <c r="G59" i="6" a="1"/>
  <c r="G59" i="6" s="1"/>
  <c r="F56" i="6" a="1"/>
  <c r="F56" i="6" s="1"/>
  <c r="G51" i="6" a="1"/>
  <c r="G51" i="6" s="1"/>
  <c r="G49" i="6" a="1"/>
  <c r="G49" i="6" s="1"/>
  <c r="AI46" i="6" a="1"/>
  <c r="AI46" i="6" s="1"/>
  <c r="AI44" i="6" a="1"/>
  <c r="AI44" i="6" s="1"/>
  <c r="F43" i="6" a="1"/>
  <c r="F43" i="6" s="1"/>
  <c r="G39" i="6" a="1"/>
  <c r="G39" i="6" s="1"/>
  <c r="H37" i="6" a="1"/>
  <c r="H37" i="6" s="1"/>
  <c r="AA82" i="6" l="1" a="1"/>
  <c r="AA82" i="6" s="1"/>
  <c r="G82" i="19" s="1"/>
  <c r="AB82" i="6" a="1"/>
  <c r="AB82" i="6" s="1"/>
  <c r="H82" i="19" s="1"/>
  <c r="AC82" i="6" a="1"/>
  <c r="AC82" i="6" s="1"/>
  <c r="I82" i="19" s="1"/>
  <c r="Z82" i="6" a="1"/>
  <c r="Z82" i="6" s="1"/>
  <c r="F82" i="19" s="1"/>
  <c r="AB35" i="6" a="1"/>
  <c r="AB35" i="6" s="1"/>
  <c r="H35" i="19" s="1"/>
  <c r="AC35" i="6" a="1"/>
  <c r="AC35" i="6" s="1"/>
  <c r="I35" i="19" s="1"/>
  <c r="Z35" i="6" a="1"/>
  <c r="Z35" i="6" s="1"/>
  <c r="F35" i="19" s="1"/>
  <c r="AA35" i="6" a="1"/>
  <c r="AA35" i="6" s="1"/>
  <c r="G35" i="19" s="1"/>
  <c r="AC36" i="6" a="1"/>
  <c r="AC36" i="6" s="1"/>
  <c r="I36" i="19" s="1"/>
  <c r="Z36" i="6" a="1"/>
  <c r="Z36" i="6" s="1"/>
  <c r="F36" i="19" s="1"/>
  <c r="AA36" i="6" a="1"/>
  <c r="AA36" i="6" s="1"/>
  <c r="G36" i="19" s="1"/>
  <c r="AB36" i="6" a="1"/>
  <c r="AB36" i="6" s="1"/>
  <c r="H36" i="19" s="1"/>
  <c r="AA59" i="6" a="1"/>
  <c r="AA59" i="6" s="1"/>
  <c r="G59" i="19" s="1"/>
  <c r="AB59" i="6" a="1"/>
  <c r="AB59" i="6" s="1"/>
  <c r="H59" i="19" s="1"/>
  <c r="AC59" i="6" a="1"/>
  <c r="AC59" i="6" s="1"/>
  <c r="I59" i="19" s="1"/>
  <c r="Z59" i="6" a="1"/>
  <c r="Z59" i="6" s="1"/>
  <c r="F59" i="19" s="1"/>
  <c r="AA39" i="6" a="1"/>
  <c r="AA39" i="6" s="1"/>
  <c r="G39" i="19" s="1"/>
  <c r="AB39" i="6" a="1"/>
  <c r="AB39" i="6" s="1"/>
  <c r="H39" i="19" s="1"/>
  <c r="AC39" i="6" a="1"/>
  <c r="AC39" i="6" s="1"/>
  <c r="I39" i="19" s="1"/>
  <c r="Z39" i="6" a="1"/>
  <c r="Z39" i="6" s="1"/>
  <c r="F39" i="19" s="1"/>
  <c r="Z45" i="6" a="1"/>
  <c r="Z45" i="6" s="1"/>
  <c r="F45" i="19" s="1"/>
  <c r="AA45" i="6" a="1"/>
  <c r="AA45" i="6" s="1"/>
  <c r="G45" i="19" s="1"/>
  <c r="AC45" i="6" a="1"/>
  <c r="AC45" i="6" s="1"/>
  <c r="I45" i="19" s="1"/>
  <c r="AB45" i="6" a="1"/>
  <c r="AB45" i="6" s="1"/>
  <c r="H45" i="19" s="1"/>
  <c r="AC56" i="6" a="1"/>
  <c r="AC56" i="6" s="1"/>
  <c r="I56" i="19" s="1"/>
  <c r="AB56" i="6" a="1"/>
  <c r="AB56" i="6" s="1"/>
  <c r="H56" i="19" s="1"/>
  <c r="Z56" i="6" a="1"/>
  <c r="Z56" i="6" s="1"/>
  <c r="F56" i="19" s="1"/>
  <c r="AA56" i="6" a="1"/>
  <c r="AA56" i="6" s="1"/>
  <c r="G56" i="19" s="1"/>
  <c r="Z73" i="6" a="1"/>
  <c r="Z73" i="6" s="1"/>
  <c r="F73" i="19" s="1"/>
  <c r="AB73" i="6" a="1"/>
  <c r="AB73" i="6" s="1"/>
  <c r="H73" i="19" s="1"/>
  <c r="AC73" i="6" a="1"/>
  <c r="AC73" i="6" s="1"/>
  <c r="I73" i="19" s="1"/>
  <c r="AA73" i="6" a="1"/>
  <c r="AA73" i="6" s="1"/>
  <c r="G73" i="19" s="1"/>
  <c r="AA78" i="6" a="1"/>
  <c r="AA78" i="6" s="1"/>
  <c r="G78" i="19" s="1"/>
  <c r="AB78" i="6" a="1"/>
  <c r="AB78" i="6" s="1"/>
  <c r="H78" i="19" s="1"/>
  <c r="Z78" i="6" a="1"/>
  <c r="Z78" i="6" s="1"/>
  <c r="F78" i="19" s="1"/>
  <c r="AC78" i="6" a="1"/>
  <c r="AC78" i="6" s="1"/>
  <c r="I78" i="19" s="1"/>
  <c r="AB83" i="6" a="1"/>
  <c r="AB83" i="6" s="1"/>
  <c r="H83" i="19" s="1"/>
  <c r="AC83" i="6" a="1"/>
  <c r="AC83" i="6" s="1"/>
  <c r="I83" i="19" s="1"/>
  <c r="AA83" i="6" a="1"/>
  <c r="AA83" i="6" s="1"/>
  <c r="G83" i="19" s="1"/>
  <c r="Z83" i="6" a="1"/>
  <c r="Z83" i="6" s="1"/>
  <c r="F83" i="19" s="1"/>
  <c r="AA92" i="6" a="1"/>
  <c r="AA92" i="6" s="1"/>
  <c r="G92" i="19" s="1"/>
  <c r="AB92" i="6" a="1"/>
  <c r="AB92" i="6" s="1"/>
  <c r="H92" i="19" s="1"/>
  <c r="AC92" i="6" a="1"/>
  <c r="AC92" i="6" s="1"/>
  <c r="I92" i="19" s="1"/>
  <c r="Z92" i="6" a="1"/>
  <c r="Z92" i="6" s="1"/>
  <c r="F92" i="19" s="1"/>
  <c r="AB91" i="6" a="1"/>
  <c r="AB91" i="6" s="1"/>
  <c r="H91" i="19" s="1"/>
  <c r="Z91" i="6" a="1"/>
  <c r="Z91" i="6" s="1"/>
  <c r="F91" i="19" s="1"/>
  <c r="AA91" i="6" a="1"/>
  <c r="AA91" i="6" s="1"/>
  <c r="G91" i="19" s="1"/>
  <c r="AC91" i="6" a="1"/>
  <c r="AC91" i="6" s="1"/>
  <c r="I91" i="19" s="1"/>
  <c r="AB94" i="6" a="1"/>
  <c r="AB94" i="6" s="1"/>
  <c r="H94" i="19" s="1"/>
  <c r="AA94" i="6" a="1"/>
  <c r="AA94" i="6" s="1"/>
  <c r="G94" i="19" s="1"/>
  <c r="AC94" i="6" a="1"/>
  <c r="AC94" i="6" s="1"/>
  <c r="I94" i="19" s="1"/>
  <c r="Z94" i="6" a="1"/>
  <c r="Z94" i="6" s="1"/>
  <c r="F94" i="19" s="1"/>
  <c r="AC72" i="6" a="1"/>
  <c r="AC72" i="6" s="1"/>
  <c r="I72" i="19" s="1"/>
  <c r="Z72" i="6" a="1"/>
  <c r="Z72" i="6" s="1"/>
  <c r="F72" i="19" s="1"/>
  <c r="AA72" i="6" a="1"/>
  <c r="AA72" i="6" s="1"/>
  <c r="G72" i="19" s="1"/>
  <c r="AB72" i="6" a="1"/>
  <c r="AB72" i="6" s="1"/>
  <c r="H72" i="19" s="1"/>
  <c r="AA71" i="6" a="1"/>
  <c r="AA71" i="6" s="1"/>
  <c r="G71" i="19" s="1"/>
  <c r="AB71" i="6" a="1"/>
  <c r="AB71" i="6" s="1"/>
  <c r="H71" i="19" s="1"/>
  <c r="AC71" i="6" a="1"/>
  <c r="AC71" i="6" s="1"/>
  <c r="I71" i="19" s="1"/>
  <c r="Z71" i="6" a="1"/>
  <c r="Z71" i="6" s="1"/>
  <c r="F71" i="19" s="1"/>
  <c r="AB40" i="6" a="1"/>
  <c r="AB40" i="6" s="1"/>
  <c r="H40" i="19" s="1"/>
  <c r="AC40" i="6" a="1"/>
  <c r="AC40" i="6" s="1"/>
  <c r="I40" i="19" s="1"/>
  <c r="Z40" i="6" a="1"/>
  <c r="Z40" i="6" s="1"/>
  <c r="F40" i="19" s="1"/>
  <c r="AA40" i="6" a="1"/>
  <c r="AA40" i="6" s="1"/>
  <c r="G40" i="19" s="1"/>
  <c r="AA46" i="6" a="1"/>
  <c r="AA46" i="6" s="1"/>
  <c r="G46" i="19" s="1"/>
  <c r="AB46" i="6" a="1"/>
  <c r="AB46" i="6" s="1"/>
  <c r="H46" i="19" s="1"/>
  <c r="Z46" i="6" a="1"/>
  <c r="Z46" i="6" s="1"/>
  <c r="F46" i="19" s="1"/>
  <c r="AC46" i="6" a="1"/>
  <c r="AC46" i="6" s="1"/>
  <c r="I46" i="19" s="1"/>
  <c r="AC64" i="6" a="1"/>
  <c r="AC64" i="6" s="1"/>
  <c r="I64" i="19" s="1"/>
  <c r="Z64" i="6" a="1"/>
  <c r="Z64" i="6" s="1"/>
  <c r="F64" i="19" s="1"/>
  <c r="AA64" i="6" a="1"/>
  <c r="AA64" i="6" s="1"/>
  <c r="G64" i="19" s="1"/>
  <c r="AB64" i="6" a="1"/>
  <c r="AB64" i="6" s="1"/>
  <c r="H64" i="19" s="1"/>
  <c r="AA75" i="6" a="1"/>
  <c r="AA75" i="6" s="1"/>
  <c r="G75" i="19" s="1"/>
  <c r="AB75" i="6" a="1"/>
  <c r="AB75" i="6" s="1"/>
  <c r="H75" i="19" s="1"/>
  <c r="AC75" i="6" a="1"/>
  <c r="AC75" i="6" s="1"/>
  <c r="I75" i="19" s="1"/>
  <c r="Z75" i="6" a="1"/>
  <c r="Z75" i="6" s="1"/>
  <c r="F75" i="19" s="1"/>
  <c r="Z53" i="6" a="1"/>
  <c r="Z53" i="6" s="1"/>
  <c r="F53" i="19" s="1"/>
  <c r="AB53" i="6" a="1"/>
  <c r="AB53" i="6" s="1"/>
  <c r="H53" i="19" s="1"/>
  <c r="AA53" i="6" a="1"/>
  <c r="AA53" i="6" s="1"/>
  <c r="G53" i="19" s="1"/>
  <c r="AC53" i="6" a="1"/>
  <c r="AC53" i="6" s="1"/>
  <c r="I53" i="19" s="1"/>
  <c r="Z88" i="6" a="1"/>
  <c r="Z88" i="6" s="1"/>
  <c r="F88" i="19" s="1"/>
  <c r="AA88" i="6" a="1"/>
  <c r="AA88" i="6" s="1"/>
  <c r="G88" i="19" s="1"/>
  <c r="AB88" i="6" a="1"/>
  <c r="AB88" i="6" s="1"/>
  <c r="H88" i="19" s="1"/>
  <c r="AC88" i="6" a="1"/>
  <c r="AC88" i="6" s="1"/>
  <c r="I88" i="19" s="1"/>
  <c r="Z57" i="6" a="1"/>
  <c r="Z57" i="6" s="1"/>
  <c r="F57" i="19" s="1"/>
  <c r="AB57" i="6" a="1"/>
  <c r="AB57" i="6" s="1"/>
  <c r="H57" i="19" s="1"/>
  <c r="AA57" i="6" a="1"/>
  <c r="AA57" i="6" s="1"/>
  <c r="G57" i="19" s="1"/>
  <c r="AC57" i="6" a="1"/>
  <c r="AC57" i="6" s="1"/>
  <c r="I57" i="19" s="1"/>
  <c r="AB34" i="6" a="1"/>
  <c r="AB34" i="6" s="1"/>
  <c r="H34" i="19" s="1"/>
  <c r="AC34" i="6" a="1"/>
  <c r="AC34" i="6" s="1"/>
  <c r="I34" i="19" s="1"/>
  <c r="Z34" i="6" a="1"/>
  <c r="Z34" i="6" s="1"/>
  <c r="F34" i="19" s="1"/>
  <c r="AA34" i="6" a="1"/>
  <c r="AA34" i="6" s="1"/>
  <c r="G34" i="19" s="1"/>
  <c r="AC68" i="6" a="1"/>
  <c r="AC68" i="6" s="1"/>
  <c r="I68" i="19" s="1"/>
  <c r="Z68" i="6" a="1"/>
  <c r="Z68" i="6" s="1"/>
  <c r="F68" i="19" s="1"/>
  <c r="AA68" i="6" a="1"/>
  <c r="AA68" i="6" s="1"/>
  <c r="G68" i="19" s="1"/>
  <c r="AB68" i="6" a="1"/>
  <c r="AB68" i="6" s="1"/>
  <c r="H68" i="19" s="1"/>
  <c r="Z38" i="6" a="1"/>
  <c r="Z38" i="6" s="1"/>
  <c r="F38" i="19" s="1"/>
  <c r="AA38" i="6" a="1"/>
  <c r="AA38" i="6" s="1"/>
  <c r="G38" i="19" s="1"/>
  <c r="AB38" i="6" a="1"/>
  <c r="AB38" i="6" s="1"/>
  <c r="H38" i="19" s="1"/>
  <c r="AC38" i="6" a="1"/>
  <c r="AC38" i="6" s="1"/>
  <c r="I38" i="19" s="1"/>
  <c r="Z65" i="6" a="1"/>
  <c r="Z65" i="6" s="1"/>
  <c r="F65" i="19" s="1"/>
  <c r="AB65" i="6" a="1"/>
  <c r="AB65" i="6" s="1"/>
  <c r="H65" i="19" s="1"/>
  <c r="AA65" i="6" a="1"/>
  <c r="AA65" i="6" s="1"/>
  <c r="G65" i="19" s="1"/>
  <c r="AC65" i="6" a="1"/>
  <c r="AC65" i="6" s="1"/>
  <c r="I65" i="19" s="1"/>
  <c r="AA47" i="6" a="1"/>
  <c r="AA47" i="6" s="1"/>
  <c r="G47" i="19" s="1"/>
  <c r="AB47" i="6" a="1"/>
  <c r="AB47" i="6" s="1"/>
  <c r="H47" i="19" s="1"/>
  <c r="AC47" i="6" a="1"/>
  <c r="AC47" i="6" s="1"/>
  <c r="I47" i="19" s="1"/>
  <c r="Z47" i="6" a="1"/>
  <c r="Z47" i="6" s="1"/>
  <c r="F47" i="19" s="1"/>
  <c r="Z84" i="6" a="1"/>
  <c r="Z84" i="6" s="1"/>
  <c r="F84" i="19" s="1"/>
  <c r="AA84" i="6" a="1"/>
  <c r="AA84" i="6" s="1"/>
  <c r="G84" i="19" s="1"/>
  <c r="AB84" i="6" a="1"/>
  <c r="AB84" i="6" s="1"/>
  <c r="H84" i="19" s="1"/>
  <c r="AC84" i="6" a="1"/>
  <c r="AC84" i="6" s="1"/>
  <c r="I84" i="19" s="1"/>
  <c r="AB79" i="6" a="1"/>
  <c r="AB79" i="6" s="1"/>
  <c r="H79" i="19" s="1"/>
  <c r="AC79" i="6" a="1"/>
  <c r="AC79" i="6" s="1"/>
  <c r="I79" i="19" s="1"/>
  <c r="Z79" i="6" a="1"/>
  <c r="Z79" i="6" s="1"/>
  <c r="F79" i="19" s="1"/>
  <c r="AA79" i="6" a="1"/>
  <c r="AA79" i="6" s="1"/>
  <c r="G79" i="19" s="1"/>
  <c r="AB80" i="6" a="1"/>
  <c r="AB80" i="6" s="1"/>
  <c r="H80" i="19" s="1"/>
  <c r="AC80" i="6" a="1"/>
  <c r="AC80" i="6" s="1"/>
  <c r="I80" i="19" s="1"/>
  <c r="Z80" i="6" a="1"/>
  <c r="Z80" i="6" s="1"/>
  <c r="F80" i="19" s="1"/>
  <c r="AA80" i="6" a="1"/>
  <c r="AA80" i="6" s="1"/>
  <c r="G80" i="19" s="1"/>
  <c r="Z37" i="6" a="1"/>
  <c r="Z37" i="6" s="1"/>
  <c r="F37" i="19" s="1"/>
  <c r="AA37" i="6" a="1"/>
  <c r="AA37" i="6" s="1"/>
  <c r="G37" i="19" s="1"/>
  <c r="AC37" i="6" a="1"/>
  <c r="AC37" i="6" s="1"/>
  <c r="I37" i="19" s="1"/>
  <c r="AB37" i="6" a="1"/>
  <c r="AB37" i="6" s="1"/>
  <c r="H37" i="19" s="1"/>
  <c r="Z77" i="6" a="1"/>
  <c r="Z77" i="6" s="1"/>
  <c r="F77" i="19" s="1"/>
  <c r="AB77" i="6" a="1"/>
  <c r="AB77" i="6" s="1"/>
  <c r="H77" i="19" s="1"/>
  <c r="AC77" i="6" a="1"/>
  <c r="AC77" i="6" s="1"/>
  <c r="I77" i="19" s="1"/>
  <c r="AA77" i="6" a="1"/>
  <c r="AA77" i="6" s="1"/>
  <c r="G77" i="19" s="1"/>
  <c r="Z61" i="6" a="1"/>
  <c r="Z61" i="6" s="1"/>
  <c r="F61" i="19" s="1"/>
  <c r="AB61" i="6" a="1"/>
  <c r="AB61" i="6" s="1"/>
  <c r="H61" i="19" s="1"/>
  <c r="AA61" i="6" a="1"/>
  <c r="AA61" i="6" s="1"/>
  <c r="G61" i="19" s="1"/>
  <c r="AC61" i="6" a="1"/>
  <c r="AC61" i="6" s="1"/>
  <c r="I61" i="19" s="1"/>
  <c r="AB89" i="6" a="1"/>
  <c r="AB89" i="6" s="1"/>
  <c r="H89" i="19" s="1"/>
  <c r="Z89" i="6" a="1"/>
  <c r="Z89" i="6" s="1"/>
  <c r="F89" i="19" s="1"/>
  <c r="AC89" i="6" a="1"/>
  <c r="AC89" i="6" s="1"/>
  <c r="I89" i="19" s="1"/>
  <c r="AA89" i="6" a="1"/>
  <c r="AA89" i="6" s="1"/>
  <c r="G89" i="19" s="1"/>
  <c r="AB93" i="6" a="1"/>
  <c r="AB93" i="6" s="1"/>
  <c r="H93" i="19" s="1"/>
  <c r="Z93" i="6" a="1"/>
  <c r="Z93" i="6" s="1"/>
  <c r="F93" i="19" s="1"/>
  <c r="AA93" i="6" a="1"/>
  <c r="AA93" i="6" s="1"/>
  <c r="G93" i="19" s="1"/>
  <c r="AC93" i="6" a="1"/>
  <c r="AC93" i="6" s="1"/>
  <c r="I93" i="19" s="1"/>
  <c r="Z74" i="6" a="1"/>
  <c r="Z74" i="6" s="1"/>
  <c r="F74" i="19" s="1"/>
  <c r="AA74" i="6" a="1"/>
  <c r="AA74" i="6" s="1"/>
  <c r="G74" i="19" s="1"/>
  <c r="AB74" i="6" a="1"/>
  <c r="AB74" i="6" s="1"/>
  <c r="H74" i="19" s="1"/>
  <c r="AC74" i="6" a="1"/>
  <c r="AC74" i="6" s="1"/>
  <c r="I74" i="19" s="1"/>
  <c r="AB87" i="6" a="1"/>
  <c r="AB87" i="6" s="1"/>
  <c r="H87" i="19" s="1"/>
  <c r="AA87" i="6" a="1"/>
  <c r="AA87" i="6" s="1"/>
  <c r="G87" i="19" s="1"/>
  <c r="Z87" i="6" a="1"/>
  <c r="Z87" i="6" s="1"/>
  <c r="F87" i="19" s="1"/>
  <c r="AC87" i="6" a="1"/>
  <c r="AC87" i="6" s="1"/>
  <c r="I87" i="19" s="1"/>
  <c r="Z58" i="6" a="1"/>
  <c r="Z58" i="6" s="1"/>
  <c r="F58" i="19" s="1"/>
  <c r="AA58" i="6" a="1"/>
  <c r="AA58" i="6" s="1"/>
  <c r="G58" i="19" s="1"/>
  <c r="AB58" i="6" a="1"/>
  <c r="AB58" i="6" s="1"/>
  <c r="H58" i="19" s="1"/>
  <c r="AC58" i="6" a="1"/>
  <c r="AC58" i="6" s="1"/>
  <c r="I58" i="19" s="1"/>
  <c r="Z85" i="6" a="1"/>
  <c r="Z85" i="6" s="1"/>
  <c r="F85" i="19" s="1"/>
  <c r="AB85" i="6" a="1"/>
  <c r="AB85" i="6" s="1"/>
  <c r="H85" i="19" s="1"/>
  <c r="AA85" i="6" a="1"/>
  <c r="AA85" i="6" s="1"/>
  <c r="G85" i="19" s="1"/>
  <c r="AC85" i="6" a="1"/>
  <c r="AC85" i="6" s="1"/>
  <c r="I85" i="19" s="1"/>
  <c r="AA31" i="6" a="1"/>
  <c r="AA31" i="6" s="1"/>
  <c r="G31" i="19" s="1"/>
  <c r="Z31" i="6" a="1"/>
  <c r="Z31" i="6" s="1"/>
  <c r="F31" i="19" s="1"/>
  <c r="AC31" i="6" a="1"/>
  <c r="AC31" i="6" s="1"/>
  <c r="I31" i="19" s="1"/>
  <c r="AB31" i="6" a="1"/>
  <c r="AB31" i="6" s="1"/>
  <c r="H31" i="19" s="1"/>
  <c r="AB90" i="6" a="1"/>
  <c r="AB90" i="6" s="1"/>
  <c r="H90" i="19" s="1"/>
  <c r="Z90" i="6" a="1"/>
  <c r="Z90" i="6" s="1"/>
  <c r="F90" i="19" s="1"/>
  <c r="AA90" i="6" a="1"/>
  <c r="AA90" i="6" s="1"/>
  <c r="G90" i="19" s="1"/>
  <c r="AC90" i="6" a="1"/>
  <c r="AC90" i="6" s="1"/>
  <c r="I90" i="19" s="1"/>
  <c r="Z54" i="6" a="1"/>
  <c r="Z54" i="6" s="1"/>
  <c r="F54" i="19" s="1"/>
  <c r="AA54" i="6" a="1"/>
  <c r="AA54" i="6" s="1"/>
  <c r="G54" i="19" s="1"/>
  <c r="AB54" i="6" a="1"/>
  <c r="AB54" i="6" s="1"/>
  <c r="H54" i="19" s="1"/>
  <c r="AC54" i="6" a="1"/>
  <c r="AC54" i="6" s="1"/>
  <c r="I54" i="19" s="1"/>
  <c r="AB41" i="6" a="1"/>
  <c r="AB41" i="6" s="1"/>
  <c r="H41" i="19" s="1"/>
  <c r="AC41" i="6" a="1"/>
  <c r="AC41" i="6" s="1"/>
  <c r="I41" i="19" s="1"/>
  <c r="Z41" i="6" a="1"/>
  <c r="Z41" i="6" s="1"/>
  <c r="F41" i="19" s="1"/>
  <c r="AA41" i="6" a="1"/>
  <c r="AA41" i="6" s="1"/>
  <c r="G41" i="19" s="1"/>
  <c r="AC52" i="6" a="1"/>
  <c r="AC52" i="6" s="1"/>
  <c r="I52" i="19" s="1"/>
  <c r="Z52" i="6" a="1"/>
  <c r="Z52" i="6" s="1"/>
  <c r="F52" i="19" s="1"/>
  <c r="AB52" i="6" a="1"/>
  <c r="AB52" i="6" s="1"/>
  <c r="H52" i="19" s="1"/>
  <c r="AA52" i="6" a="1"/>
  <c r="AA52" i="6" s="1"/>
  <c r="G52" i="19" s="1"/>
  <c r="Z49" i="6" a="1"/>
  <c r="Z49" i="6" s="1"/>
  <c r="F49" i="19" s="1"/>
  <c r="AB49" i="6" a="1"/>
  <c r="AB49" i="6" s="1"/>
  <c r="H49" i="19" s="1"/>
  <c r="AC49" i="6" a="1"/>
  <c r="AC49" i="6" s="1"/>
  <c r="I49" i="19" s="1"/>
  <c r="AA49" i="6" a="1"/>
  <c r="AA49" i="6" s="1"/>
  <c r="G49" i="19" s="1"/>
  <c r="Z66" i="6" a="1"/>
  <c r="Z66" i="6" s="1"/>
  <c r="F66" i="19" s="1"/>
  <c r="AA66" i="6" a="1"/>
  <c r="AA66" i="6" s="1"/>
  <c r="G66" i="19" s="1"/>
  <c r="AB66" i="6" a="1"/>
  <c r="AB66" i="6" s="1"/>
  <c r="H66" i="19" s="1"/>
  <c r="AC66" i="6" a="1"/>
  <c r="AC66" i="6" s="1"/>
  <c r="I66" i="19" s="1"/>
  <c r="AC76" i="6" a="1"/>
  <c r="AC76" i="6" s="1"/>
  <c r="I76" i="19" s="1"/>
  <c r="Z76" i="6" a="1"/>
  <c r="Z76" i="6" s="1"/>
  <c r="F76" i="19" s="1"/>
  <c r="AA76" i="6" a="1"/>
  <c r="AA76" i="6" s="1"/>
  <c r="G76" i="19" s="1"/>
  <c r="AB76" i="6" a="1"/>
  <c r="AB76" i="6" s="1"/>
  <c r="H76" i="19" s="1"/>
  <c r="AA55" i="6" a="1"/>
  <c r="AA55" i="6" s="1"/>
  <c r="G55" i="19" s="1"/>
  <c r="AB55" i="6" a="1"/>
  <c r="AB55" i="6" s="1"/>
  <c r="H55" i="19" s="1"/>
  <c r="AC55" i="6" a="1"/>
  <c r="AC55" i="6" s="1"/>
  <c r="I55" i="19" s="1"/>
  <c r="Z55" i="6" a="1"/>
  <c r="Z55" i="6" s="1"/>
  <c r="F55" i="19" s="1"/>
  <c r="Z62" i="6" a="1"/>
  <c r="Z62" i="6" s="1"/>
  <c r="F62" i="19" s="1"/>
  <c r="AA62" i="6" a="1"/>
  <c r="AA62" i="6" s="1"/>
  <c r="G62" i="19" s="1"/>
  <c r="AB62" i="6" a="1"/>
  <c r="AB62" i="6" s="1"/>
  <c r="H62" i="19" s="1"/>
  <c r="AC62" i="6" a="1"/>
  <c r="AC62" i="6" s="1"/>
  <c r="I62" i="19" s="1"/>
  <c r="Z69" i="6" a="1"/>
  <c r="Z69" i="6" s="1"/>
  <c r="F69" i="19" s="1"/>
  <c r="AB69" i="6" a="1"/>
  <c r="AB69" i="6" s="1"/>
  <c r="H69" i="19" s="1"/>
  <c r="AA69" i="6" a="1"/>
  <c r="AA69" i="6" s="1"/>
  <c r="G69" i="19" s="1"/>
  <c r="AC69" i="6" a="1"/>
  <c r="AC69" i="6" s="1"/>
  <c r="I69" i="19" s="1"/>
  <c r="AB95" i="6" a="1"/>
  <c r="AB95" i="6" s="1"/>
  <c r="H95" i="19" s="1"/>
  <c r="Z95" i="6" a="1"/>
  <c r="Z95" i="6" s="1"/>
  <c r="F95" i="19" s="1"/>
  <c r="AA95" i="6" a="1"/>
  <c r="AA95" i="6" s="1"/>
  <c r="G95" i="19" s="1"/>
  <c r="AC95" i="6" a="1"/>
  <c r="AC95" i="6" s="1"/>
  <c r="I95" i="19" s="1"/>
  <c r="AB86" i="6" a="1"/>
  <c r="AB86" i="6" s="1"/>
  <c r="H86" i="19" s="1"/>
  <c r="Z86" i="6" a="1"/>
  <c r="Z86" i="6" s="1"/>
  <c r="F86" i="19" s="1"/>
  <c r="AA86" i="6" a="1"/>
  <c r="AA86" i="6" s="1"/>
  <c r="G86" i="19" s="1"/>
  <c r="AC86" i="6" a="1"/>
  <c r="AC86" i="6" s="1"/>
  <c r="I86" i="19" s="1"/>
  <c r="AB96" i="6" a="1"/>
  <c r="AB96" i="6" s="1"/>
  <c r="H96" i="19" s="1"/>
  <c r="Z96" i="6" a="1"/>
  <c r="Z96" i="6" s="1"/>
  <c r="F96" i="19" s="1"/>
  <c r="AC96" i="6" a="1"/>
  <c r="AC96" i="6" s="1"/>
  <c r="I96" i="19" s="1"/>
  <c r="AA96" i="6" a="1"/>
  <c r="AA96" i="6" s="1"/>
  <c r="G96" i="19" s="1"/>
  <c r="AA33" i="6" a="1"/>
  <c r="AA33" i="6" s="1"/>
  <c r="G33" i="19" s="1"/>
  <c r="AB33" i="6" a="1"/>
  <c r="AB33" i="6" s="1"/>
  <c r="H33" i="19" s="1"/>
  <c r="AC33" i="6" a="1"/>
  <c r="AC33" i="6" s="1"/>
  <c r="I33" i="19" s="1"/>
  <c r="Z33" i="6" a="1"/>
  <c r="Z33" i="6" s="1"/>
  <c r="F33" i="19" s="1"/>
  <c r="AC48" i="6" a="1"/>
  <c r="AC48" i="6" s="1"/>
  <c r="I48" i="19" s="1"/>
  <c r="AB48" i="6" a="1"/>
  <c r="AB48" i="6" s="1"/>
  <c r="H48" i="19" s="1"/>
  <c r="Z48" i="6" a="1"/>
  <c r="Z48" i="6" s="1"/>
  <c r="F48" i="19" s="1"/>
  <c r="AA48" i="6" a="1"/>
  <c r="AA48" i="6" s="1"/>
  <c r="G48" i="19" s="1"/>
  <c r="AA63" i="6" a="1"/>
  <c r="AA63" i="6" s="1"/>
  <c r="G63" i="19" s="1"/>
  <c r="AB63" i="6" a="1"/>
  <c r="AB63" i="6" s="1"/>
  <c r="H63" i="19" s="1"/>
  <c r="AC63" i="6" a="1"/>
  <c r="AC63" i="6" s="1"/>
  <c r="I63" i="19" s="1"/>
  <c r="Z63" i="6" a="1"/>
  <c r="Z63" i="6" s="1"/>
  <c r="F63" i="19" s="1"/>
  <c r="AC60" i="6" a="1"/>
  <c r="AC60" i="6" s="1"/>
  <c r="I60" i="19" s="1"/>
  <c r="AA60" i="6" a="1"/>
  <c r="AA60" i="6" s="1"/>
  <c r="G60" i="19" s="1"/>
  <c r="AB60" i="6" a="1"/>
  <c r="AB60" i="6" s="1"/>
  <c r="H60" i="19" s="1"/>
  <c r="Z60" i="6" a="1"/>
  <c r="Z60" i="6" s="1"/>
  <c r="F60" i="19" s="1"/>
  <c r="AA67" i="6" a="1"/>
  <c r="AA67" i="6" s="1"/>
  <c r="G67" i="19" s="1"/>
  <c r="AB67" i="6" a="1"/>
  <c r="AB67" i="6" s="1"/>
  <c r="H67" i="19" s="1"/>
  <c r="AC67" i="6" a="1"/>
  <c r="AC67" i="6" s="1"/>
  <c r="I67" i="19" s="1"/>
  <c r="Z67" i="6" a="1"/>
  <c r="Z67" i="6" s="1"/>
  <c r="F67" i="19" s="1"/>
  <c r="AB97" i="6" a="1"/>
  <c r="AB97" i="6" s="1"/>
  <c r="H97" i="19" s="1"/>
  <c r="Z97" i="6" a="1"/>
  <c r="Z97" i="6" s="1"/>
  <c r="F97" i="19" s="1"/>
  <c r="AA97" i="6" a="1"/>
  <c r="AA97" i="6" s="1"/>
  <c r="G97" i="19" s="1"/>
  <c r="AC97" i="6" a="1"/>
  <c r="AC97" i="6" s="1"/>
  <c r="I97" i="19" s="1"/>
  <c r="Z44" i="6" a="1"/>
  <c r="Z44" i="6" s="1"/>
  <c r="F44" i="19" s="1"/>
  <c r="AA44" i="6" a="1"/>
  <c r="AA44" i="6" s="1"/>
  <c r="G44" i="19" s="1"/>
  <c r="AB44" i="6" a="1"/>
  <c r="AB44" i="6" s="1"/>
  <c r="H44" i="19" s="1"/>
  <c r="AC44" i="6" a="1"/>
  <c r="AC44" i="6" s="1"/>
  <c r="I44" i="19" s="1"/>
  <c r="AA51" i="6" a="1"/>
  <c r="AA51" i="6" s="1"/>
  <c r="G51" i="19" s="1"/>
  <c r="AB51" i="6" a="1"/>
  <c r="AB51" i="6" s="1"/>
  <c r="H51" i="19" s="1"/>
  <c r="AC51" i="6" a="1"/>
  <c r="AC51" i="6" s="1"/>
  <c r="I51" i="19" s="1"/>
  <c r="Z51" i="6" a="1"/>
  <c r="Z51" i="6" s="1"/>
  <c r="F51" i="19" s="1"/>
  <c r="AC42" i="6" a="1"/>
  <c r="AC42" i="6" s="1"/>
  <c r="I42" i="19" s="1"/>
  <c r="Z42" i="6" a="1"/>
  <c r="Z42" i="6" s="1"/>
  <c r="F42" i="19" s="1"/>
  <c r="AA42" i="6" a="1"/>
  <c r="AA42" i="6" s="1"/>
  <c r="G42" i="19" s="1"/>
  <c r="AB42" i="6" a="1"/>
  <c r="AB42" i="6" s="1"/>
  <c r="H42" i="19" s="1"/>
  <c r="Z50" i="6" a="1"/>
  <c r="Z50" i="6" s="1"/>
  <c r="F50" i="19" s="1"/>
  <c r="AA50" i="6" a="1"/>
  <c r="AA50" i="6" s="1"/>
  <c r="G50" i="19" s="1"/>
  <c r="AB50" i="6" a="1"/>
  <c r="AB50" i="6" s="1"/>
  <c r="H50" i="19" s="1"/>
  <c r="AC50" i="6" a="1"/>
  <c r="AC50" i="6" s="1"/>
  <c r="I50" i="19" s="1"/>
  <c r="Z43" i="6" a="1"/>
  <c r="Z43" i="6" s="1"/>
  <c r="F43" i="19" s="1"/>
  <c r="AA43" i="6" a="1"/>
  <c r="AA43" i="6" s="1"/>
  <c r="G43" i="19" s="1"/>
  <c r="AB43" i="6" a="1"/>
  <c r="AB43" i="6" s="1"/>
  <c r="H43" i="19" s="1"/>
  <c r="AC43" i="6" a="1"/>
  <c r="AC43" i="6" s="1"/>
  <c r="I43" i="19" s="1"/>
  <c r="Z70" i="6" a="1"/>
  <c r="Z70" i="6" s="1"/>
  <c r="F70" i="19" s="1"/>
  <c r="AA70" i="6" a="1"/>
  <c r="AA70" i="6" s="1"/>
  <c r="G70" i="19" s="1"/>
  <c r="AB70" i="6" a="1"/>
  <c r="AB70" i="6" s="1"/>
  <c r="H70" i="19" s="1"/>
  <c r="AC70" i="6" a="1"/>
  <c r="AC70" i="6" s="1"/>
  <c r="I70" i="19" s="1"/>
  <c r="Z81" i="6" a="1"/>
  <c r="Z81" i="6" s="1"/>
  <c r="F81" i="19" s="1"/>
  <c r="AB81" i="6" a="1"/>
  <c r="AB81" i="6" s="1"/>
  <c r="H81" i="19" s="1"/>
  <c r="AA81" i="6" a="1"/>
  <c r="AA81" i="6" s="1"/>
  <c r="G81" i="19" s="1"/>
  <c r="AC81" i="6" a="1"/>
  <c r="AC81" i="6" s="1"/>
  <c r="I81" i="19" s="1"/>
  <c r="Z32" i="6" a="1"/>
  <c r="Z32" i="6" s="1"/>
  <c r="F32" i="19" s="1"/>
  <c r="AA32" i="6" a="1"/>
  <c r="AA32" i="6" s="1"/>
  <c r="G32" i="19" s="1"/>
  <c r="AB32" i="6" a="1"/>
  <c r="AB32" i="6" s="1"/>
  <c r="H32" i="19" s="1"/>
  <c r="AC32" i="6" a="1"/>
  <c r="AC32" i="6" s="1"/>
  <c r="I32" i="19" s="1"/>
  <c r="AG39" i="13"/>
  <c r="AG40" i="13"/>
  <c r="AG41" i="13"/>
  <c r="AG42" i="13"/>
  <c r="AG43" i="13"/>
  <c r="AG44" i="13"/>
  <c r="AG45" i="13"/>
  <c r="AG46" i="13"/>
  <c r="AG47" i="13"/>
  <c r="AG48" i="13"/>
  <c r="AG49" i="13"/>
  <c r="AG50" i="13"/>
  <c r="AG51" i="13"/>
  <c r="AG52" i="13"/>
  <c r="AG53" i="13"/>
  <c r="AG54" i="13"/>
  <c r="AG55" i="13"/>
  <c r="AG56" i="13"/>
  <c r="AG57" i="13"/>
  <c r="AG58" i="13"/>
  <c r="AG59" i="13"/>
  <c r="AG60" i="13"/>
  <c r="AG61" i="13"/>
  <c r="AG62" i="13"/>
  <c r="AG63" i="13"/>
  <c r="AG64" i="13"/>
  <c r="AG65" i="13"/>
  <c r="AG66" i="13"/>
  <c r="AG67" i="13"/>
  <c r="AG68" i="13"/>
  <c r="AG69" i="13"/>
  <c r="AG70" i="13"/>
  <c r="AG71" i="13"/>
  <c r="AG72" i="13"/>
  <c r="AG73" i="13"/>
  <c r="AG74" i="13"/>
  <c r="AG75" i="13"/>
  <c r="AG76" i="13"/>
  <c r="AG77" i="13"/>
  <c r="AG78" i="13"/>
  <c r="AG79" i="13"/>
  <c r="AG80" i="13"/>
  <c r="AG81" i="13"/>
  <c r="AG82" i="13"/>
  <c r="AG83" i="13"/>
  <c r="AG84" i="13"/>
  <c r="AG85" i="13"/>
  <c r="AG86" i="13"/>
  <c r="AG87" i="13"/>
  <c r="AG88" i="13"/>
  <c r="AG89" i="13"/>
  <c r="AG90" i="13"/>
  <c r="AG91" i="13"/>
  <c r="AG92" i="13"/>
  <c r="AG93" i="13"/>
  <c r="AG94" i="13"/>
  <c r="AG95" i="13"/>
  <c r="AG96" i="13"/>
  <c r="AG97" i="13"/>
  <c r="AG98" i="13"/>
  <c r="AG99" i="13"/>
  <c r="AG100" i="13"/>
  <c r="AG101" i="13"/>
  <c r="AG102" i="13"/>
  <c r="AG103" i="13"/>
  <c r="AG104" i="13"/>
  <c r="AG105" i="13"/>
  <c r="AG106" i="13"/>
  <c r="AG107" i="13"/>
  <c r="AG108" i="13"/>
  <c r="AG109" i="13"/>
  <c r="AG110" i="13"/>
  <c r="AG111" i="13"/>
  <c r="AG112" i="13"/>
  <c r="AG113" i="13"/>
  <c r="AG114" i="13"/>
  <c r="AG115" i="13"/>
  <c r="AG116" i="13"/>
  <c r="AG117" i="13"/>
  <c r="AG118" i="13"/>
  <c r="AG119" i="13"/>
  <c r="AG120" i="13"/>
  <c r="AG121" i="13"/>
  <c r="AG122" i="13"/>
  <c r="AG123" i="13"/>
  <c r="AG124" i="13"/>
  <c r="AG125" i="13"/>
  <c r="AG126" i="13"/>
  <c r="AG127" i="13"/>
  <c r="AG128" i="13"/>
  <c r="AG129" i="13"/>
  <c r="AG130" i="13"/>
  <c r="AG131" i="13"/>
  <c r="AG132" i="13"/>
  <c r="AG133" i="13"/>
  <c r="AG134" i="13"/>
  <c r="AG135" i="13"/>
  <c r="AG136" i="13"/>
  <c r="AG137" i="13"/>
  <c r="AG32" i="13"/>
  <c r="AG33" i="13"/>
  <c r="AG34" i="13"/>
  <c r="AG35" i="13"/>
  <c r="AG36" i="13"/>
  <c r="AG37" i="13"/>
  <c r="AG38" i="13"/>
  <c r="DN10" i="13"/>
  <c r="DO10" i="13"/>
  <c r="DR10" i="13"/>
  <c r="DV10" i="13"/>
  <c r="DW10" i="13"/>
  <c r="AG31" i="13"/>
  <c r="AG27" i="13"/>
  <c r="AG28" i="13"/>
  <c r="AG29" i="13"/>
  <c r="AG30" i="13"/>
  <c r="AG23" i="13"/>
  <c r="AG24" i="13"/>
  <c r="AG25" i="13"/>
  <c r="AG26" i="13"/>
  <c r="EA19" i="13"/>
  <c r="EA10" i="13" s="1"/>
  <c r="FR121" i="13" l="1" a="1"/>
  <c r="FR121" i="13" s="1"/>
  <c r="GH121" i="13" a="1"/>
  <c r="GH121" i="13" s="1"/>
  <c r="FZ121" i="13" a="1"/>
  <c r="FZ121" i="13" s="1"/>
  <c r="GP121" i="13" a="1"/>
  <c r="GP121" i="13" s="1"/>
  <c r="FJ121" i="13" a="1"/>
  <c r="FJ121" i="13" s="1"/>
  <c r="ET121" i="13" a="1"/>
  <c r="ET121" i="13" s="1"/>
  <c r="GX121" i="13" a="1"/>
  <c r="GX121" i="13" s="1"/>
  <c r="FB121" i="13" a="1"/>
  <c r="FB121" i="13" s="1"/>
  <c r="EL121" i="13" a="1"/>
  <c r="EL121" i="13" s="1"/>
  <c r="ED121" i="13" a="1"/>
  <c r="ED121" i="13" s="1"/>
  <c r="GH105" i="13" a="1"/>
  <c r="GH105" i="13" s="1"/>
  <c r="FZ105" i="13" a="1"/>
  <c r="FZ105" i="13" s="1"/>
  <c r="FJ105" i="13" a="1"/>
  <c r="FJ105" i="13" s="1"/>
  <c r="GP105" i="13" a="1"/>
  <c r="GP105" i="13" s="1"/>
  <c r="GX105" i="13" a="1"/>
  <c r="GX105" i="13" s="1"/>
  <c r="FB105" i="13" a="1"/>
  <c r="FB105" i="13" s="1"/>
  <c r="FR105" i="13" a="1"/>
  <c r="FR105" i="13" s="1"/>
  <c r="ED105" i="13" a="1"/>
  <c r="ED105" i="13" s="1"/>
  <c r="EL105" i="13" a="1"/>
  <c r="EL105" i="13" s="1"/>
  <c r="ET105" i="13" a="1"/>
  <c r="ET105" i="13" s="1"/>
  <c r="GH81" i="13" a="1"/>
  <c r="GH81" i="13" s="1"/>
  <c r="GP81" i="13" a="1"/>
  <c r="GP81" i="13" s="1"/>
  <c r="FR81" i="13" a="1"/>
  <c r="FR81" i="13" s="1"/>
  <c r="FJ81" i="13" a="1"/>
  <c r="FJ81" i="13" s="1"/>
  <c r="FB81" i="13" a="1"/>
  <c r="FB81" i="13" s="1"/>
  <c r="FZ81" i="13" a="1"/>
  <c r="FZ81" i="13" s="1"/>
  <c r="GX81" i="13" a="1"/>
  <c r="GX81" i="13" s="1"/>
  <c r="ET81" i="13" a="1"/>
  <c r="ET81" i="13" s="1"/>
  <c r="EL81" i="13" a="1"/>
  <c r="EL81" i="13" s="1"/>
  <c r="ED81" i="13" a="1"/>
  <c r="ED81" i="13" s="1"/>
  <c r="FZ65" i="13" a="1"/>
  <c r="FZ65" i="13" s="1"/>
  <c r="GH65" i="13" a="1"/>
  <c r="GH65" i="13" s="1"/>
  <c r="GP65" i="13" a="1"/>
  <c r="GP65" i="13" s="1"/>
  <c r="GX65" i="13" a="1"/>
  <c r="GX65" i="13" s="1"/>
  <c r="FR65" i="13" a="1"/>
  <c r="FR65" i="13" s="1"/>
  <c r="ED65" i="13" a="1"/>
  <c r="ED65" i="13" s="1"/>
  <c r="FJ65" i="13" a="1"/>
  <c r="FJ65" i="13" s="1"/>
  <c r="EL65" i="13" a="1"/>
  <c r="EL65" i="13" s="1"/>
  <c r="FB65" i="13" a="1"/>
  <c r="FB65" i="13" s="1"/>
  <c r="ET65" i="13" a="1"/>
  <c r="ET65" i="13" s="1"/>
  <c r="FJ49" i="13" a="1"/>
  <c r="FJ49" i="13" s="1"/>
  <c r="FZ49" i="13" a="1"/>
  <c r="FZ49" i="13" s="1"/>
  <c r="FB49" i="13" a="1"/>
  <c r="FB49" i="13" s="1"/>
  <c r="FR49" i="13" a="1"/>
  <c r="FR49" i="13" s="1"/>
  <c r="GH49" i="13" a="1"/>
  <c r="GH49" i="13" s="1"/>
  <c r="GP49" i="13" a="1"/>
  <c r="GP49" i="13" s="1"/>
  <c r="ET49" i="13" a="1"/>
  <c r="ET49" i="13" s="1"/>
  <c r="GX49" i="13" a="1"/>
  <c r="GX49" i="13" s="1"/>
  <c r="EL49" i="13" a="1"/>
  <c r="EL49" i="13" s="1"/>
  <c r="ED49" i="13" a="1"/>
  <c r="ED49" i="13" s="1"/>
  <c r="FZ38" i="13" a="1"/>
  <c r="FZ38" i="13" s="1"/>
  <c r="GH38" i="13" a="1"/>
  <c r="GH38" i="13" s="1"/>
  <c r="GP38" i="13" a="1"/>
  <c r="GP38" i="13" s="1"/>
  <c r="GX38" i="13" a="1"/>
  <c r="GX38" i="13" s="1"/>
  <c r="FR38" i="13" a="1"/>
  <c r="FR38" i="13" s="1"/>
  <c r="FB38" i="13" a="1"/>
  <c r="FB38" i="13" s="1"/>
  <c r="EL38" i="13" a="1"/>
  <c r="EL38" i="13" s="1"/>
  <c r="ED38" i="13" a="1"/>
  <c r="ED38" i="13" s="1"/>
  <c r="FJ38" i="13" a="1"/>
  <c r="FJ38" i="13" s="1"/>
  <c r="ET38" i="13" a="1"/>
  <c r="ET38" i="13" s="1"/>
  <c r="GH120" i="13" a="1"/>
  <c r="GH120" i="13" s="1"/>
  <c r="FZ120" i="13" a="1"/>
  <c r="FZ120" i="13" s="1"/>
  <c r="GX120" i="13" a="1"/>
  <c r="GX120" i="13" s="1"/>
  <c r="GP120" i="13" a="1"/>
  <c r="GP120" i="13" s="1"/>
  <c r="ET120" i="13" a="1"/>
  <c r="ET120" i="13" s="1"/>
  <c r="FJ120" i="13" a="1"/>
  <c r="FJ120" i="13" s="1"/>
  <c r="FB120" i="13" a="1"/>
  <c r="FB120" i="13" s="1"/>
  <c r="FR120" i="13" a="1"/>
  <c r="FR120" i="13" s="1"/>
  <c r="EL120" i="13" a="1"/>
  <c r="EL120" i="13" s="1"/>
  <c r="ED120" i="13" a="1"/>
  <c r="ED120" i="13" s="1"/>
  <c r="FJ112" i="13" a="1"/>
  <c r="FJ112" i="13" s="1"/>
  <c r="GH112" i="13" a="1"/>
  <c r="GH112" i="13" s="1"/>
  <c r="FZ112" i="13" a="1"/>
  <c r="FZ112" i="13" s="1"/>
  <c r="FR112" i="13" a="1"/>
  <c r="FR112" i="13" s="1"/>
  <c r="GX112" i="13" a="1"/>
  <c r="GX112" i="13" s="1"/>
  <c r="GP112" i="13" a="1"/>
  <c r="GP112" i="13" s="1"/>
  <c r="EL112" i="13" a="1"/>
  <c r="EL112" i="13" s="1"/>
  <c r="FB112" i="13" a="1"/>
  <c r="FB112" i="13" s="1"/>
  <c r="ED112" i="13" a="1"/>
  <c r="ED112" i="13" s="1"/>
  <c r="ET112" i="13" a="1"/>
  <c r="ET112" i="13" s="1"/>
  <c r="GH104" i="13" a="1"/>
  <c r="GH104" i="13" s="1"/>
  <c r="FZ104" i="13" a="1"/>
  <c r="FZ104" i="13" s="1"/>
  <c r="GP104" i="13" a="1"/>
  <c r="GP104" i="13" s="1"/>
  <c r="FR104" i="13" a="1"/>
  <c r="FR104" i="13" s="1"/>
  <c r="GX104" i="13" a="1"/>
  <c r="GX104" i="13" s="1"/>
  <c r="FB104" i="13" a="1"/>
  <c r="FB104" i="13" s="1"/>
  <c r="ED104" i="13" a="1"/>
  <c r="ED104" i="13" s="1"/>
  <c r="ET104" i="13" a="1"/>
  <c r="ET104" i="13" s="1"/>
  <c r="EL104" i="13" a="1"/>
  <c r="EL104" i="13" s="1"/>
  <c r="FJ104" i="13" a="1"/>
  <c r="FJ104" i="13" s="1"/>
  <c r="GH96" i="13" a="1"/>
  <c r="GH96" i="13" s="1"/>
  <c r="GP96" i="13" a="1"/>
  <c r="GP96" i="13" s="1"/>
  <c r="GX96" i="13" a="1"/>
  <c r="GX96" i="13" s="1"/>
  <c r="ED96" i="13" a="1"/>
  <c r="ED96" i="13" s="1"/>
  <c r="FB96" i="13" a="1"/>
  <c r="FB96" i="13" s="1"/>
  <c r="FZ96" i="13" a="1"/>
  <c r="FZ96" i="13" s="1"/>
  <c r="ET96" i="13" a="1"/>
  <c r="ET96" i="13" s="1"/>
  <c r="EL96" i="13" a="1"/>
  <c r="EL96" i="13" s="1"/>
  <c r="FJ96" i="13" a="1"/>
  <c r="FJ96" i="13" s="1"/>
  <c r="FR96" i="13" a="1"/>
  <c r="FR96" i="13" s="1"/>
  <c r="GH88" i="13" a="1"/>
  <c r="GH88" i="13" s="1"/>
  <c r="GP88" i="13" a="1"/>
  <c r="GP88" i="13" s="1"/>
  <c r="GX88" i="13" a="1"/>
  <c r="GX88" i="13" s="1"/>
  <c r="FZ88" i="13" a="1"/>
  <c r="FZ88" i="13" s="1"/>
  <c r="ED88" i="13" a="1"/>
  <c r="ED88" i="13" s="1"/>
  <c r="ET88" i="13" a="1"/>
  <c r="ET88" i="13" s="1"/>
  <c r="EL88" i="13" a="1"/>
  <c r="EL88" i="13" s="1"/>
  <c r="FJ88" i="13" a="1"/>
  <c r="FJ88" i="13" s="1"/>
  <c r="FR88" i="13" a="1"/>
  <c r="FR88" i="13" s="1"/>
  <c r="FB88" i="13" a="1"/>
  <c r="FB88" i="13" s="1"/>
  <c r="GH80" i="13" a="1"/>
  <c r="GH80" i="13" s="1"/>
  <c r="GP80" i="13" a="1"/>
  <c r="GP80" i="13" s="1"/>
  <c r="FR80" i="13" a="1"/>
  <c r="FR80" i="13" s="1"/>
  <c r="GX80" i="13" a="1"/>
  <c r="GX80" i="13" s="1"/>
  <c r="FB80" i="13" a="1"/>
  <c r="FB80" i="13" s="1"/>
  <c r="FZ80" i="13" a="1"/>
  <c r="FZ80" i="13" s="1"/>
  <c r="ET80" i="13" a="1"/>
  <c r="ET80" i="13" s="1"/>
  <c r="EL80" i="13" a="1"/>
  <c r="EL80" i="13" s="1"/>
  <c r="FJ80" i="13" a="1"/>
  <c r="FJ80" i="13" s="1"/>
  <c r="ED80" i="13" a="1"/>
  <c r="ED80" i="13" s="1"/>
  <c r="GH72" i="13" a="1"/>
  <c r="GH72" i="13" s="1"/>
  <c r="GP72" i="13" a="1"/>
  <c r="GP72" i="13" s="1"/>
  <c r="FR72" i="13" a="1"/>
  <c r="FR72" i="13" s="1"/>
  <c r="GX72" i="13" a="1"/>
  <c r="GX72" i="13" s="1"/>
  <c r="EL72" i="13" a="1"/>
  <c r="EL72" i="13" s="1"/>
  <c r="FB72" i="13" a="1"/>
  <c r="FB72" i="13" s="1"/>
  <c r="FJ72" i="13" a="1"/>
  <c r="FJ72" i="13" s="1"/>
  <c r="ET72" i="13" a="1"/>
  <c r="ET72" i="13" s="1"/>
  <c r="FZ72" i="13" a="1"/>
  <c r="FZ72" i="13" s="1"/>
  <c r="ED72" i="13" a="1"/>
  <c r="ED72" i="13" s="1"/>
  <c r="FR64" i="13" a="1"/>
  <c r="FR64" i="13" s="1"/>
  <c r="GH64" i="13" a="1"/>
  <c r="GH64" i="13" s="1"/>
  <c r="GP64" i="13" a="1"/>
  <c r="GP64" i="13" s="1"/>
  <c r="GX64" i="13" a="1"/>
  <c r="GX64" i="13" s="1"/>
  <c r="FB64" i="13" a="1"/>
  <c r="FB64" i="13" s="1"/>
  <c r="FJ64" i="13" a="1"/>
  <c r="FJ64" i="13" s="1"/>
  <c r="FZ64" i="13" a="1"/>
  <c r="FZ64" i="13" s="1"/>
  <c r="ET64" i="13" a="1"/>
  <c r="ET64" i="13" s="1"/>
  <c r="ED64" i="13" a="1"/>
  <c r="ED64" i="13" s="1"/>
  <c r="EL64" i="13" a="1"/>
  <c r="EL64" i="13" s="1"/>
  <c r="FZ56" i="13" a="1"/>
  <c r="FZ56" i="13" s="1"/>
  <c r="FR56" i="13" a="1"/>
  <c r="FR56" i="13" s="1"/>
  <c r="GH56" i="13" a="1"/>
  <c r="GH56" i="13" s="1"/>
  <c r="GP56" i="13" a="1"/>
  <c r="GP56" i="13" s="1"/>
  <c r="GX56" i="13" a="1"/>
  <c r="GX56" i="13" s="1"/>
  <c r="FJ56" i="13" a="1"/>
  <c r="FJ56" i="13" s="1"/>
  <c r="FB56" i="13" a="1"/>
  <c r="FB56" i="13" s="1"/>
  <c r="ET56" i="13" a="1"/>
  <c r="ET56" i="13" s="1"/>
  <c r="EL56" i="13" a="1"/>
  <c r="EL56" i="13" s="1"/>
  <c r="ED56" i="13" a="1"/>
  <c r="ED56" i="13" s="1"/>
  <c r="FZ48" i="13" a="1"/>
  <c r="FZ48" i="13" s="1"/>
  <c r="FB48" i="13" a="1"/>
  <c r="FB48" i="13" s="1"/>
  <c r="FR48" i="13" a="1"/>
  <c r="FR48" i="13" s="1"/>
  <c r="GH48" i="13" a="1"/>
  <c r="GH48" i="13" s="1"/>
  <c r="GP48" i="13" a="1"/>
  <c r="GP48" i="13" s="1"/>
  <c r="GX48" i="13" a="1"/>
  <c r="GX48" i="13" s="1"/>
  <c r="EL48" i="13" a="1"/>
  <c r="EL48" i="13" s="1"/>
  <c r="FJ48" i="13" a="1"/>
  <c r="FJ48" i="13" s="1"/>
  <c r="ET48" i="13" a="1"/>
  <c r="ET48" i="13" s="1"/>
  <c r="ED48" i="13" a="1"/>
  <c r="ED48" i="13" s="1"/>
  <c r="FZ40" i="13" a="1"/>
  <c r="FZ40" i="13" s="1"/>
  <c r="GH40" i="13" a="1"/>
  <c r="GH40" i="13" s="1"/>
  <c r="GP40" i="13" a="1"/>
  <c r="GP40" i="13" s="1"/>
  <c r="GX40" i="13" a="1"/>
  <c r="GX40" i="13" s="1"/>
  <c r="FR40" i="13" a="1"/>
  <c r="FR40" i="13" s="1"/>
  <c r="ET40" i="13" a="1"/>
  <c r="ET40" i="13" s="1"/>
  <c r="ED40" i="13" a="1"/>
  <c r="ED40" i="13" s="1"/>
  <c r="EL40" i="13" a="1"/>
  <c r="EL40" i="13" s="1"/>
  <c r="FB40" i="13" a="1"/>
  <c r="FB40" i="13" s="1"/>
  <c r="FJ40" i="13" a="1"/>
  <c r="FJ40" i="13" s="1"/>
  <c r="FR130" i="13" a="1"/>
  <c r="FR130" i="13" s="1"/>
  <c r="FZ130" i="13" a="1"/>
  <c r="FZ130" i="13" s="1"/>
  <c r="GX130" i="13" a="1"/>
  <c r="GX130" i="13" s="1"/>
  <c r="GP130" i="13" a="1"/>
  <c r="GP130" i="13" s="1"/>
  <c r="GH130" i="13" a="1"/>
  <c r="GH130" i="13" s="1"/>
  <c r="FB130" i="13" a="1"/>
  <c r="FB130" i="13" s="1"/>
  <c r="FJ130" i="13" a="1"/>
  <c r="FJ130" i="13" s="1"/>
  <c r="ED130" i="13" a="1"/>
  <c r="ED130" i="13" s="1"/>
  <c r="ET130" i="13" a="1"/>
  <c r="ET130" i="13" s="1"/>
  <c r="EL130" i="13" a="1"/>
  <c r="EL130" i="13" s="1"/>
  <c r="FJ122" i="13" a="1"/>
  <c r="FJ122" i="13" s="1"/>
  <c r="FR122" i="13" a="1"/>
  <c r="FR122" i="13" s="1"/>
  <c r="GH122" i="13" a="1"/>
  <c r="GH122" i="13" s="1"/>
  <c r="GX122" i="13" a="1"/>
  <c r="GX122" i="13" s="1"/>
  <c r="GP122" i="13" a="1"/>
  <c r="GP122" i="13" s="1"/>
  <c r="FZ122" i="13" a="1"/>
  <c r="FZ122" i="13" s="1"/>
  <c r="ET122" i="13" a="1"/>
  <c r="ET122" i="13" s="1"/>
  <c r="FB122" i="13" a="1"/>
  <c r="FB122" i="13" s="1"/>
  <c r="ED122" i="13" a="1"/>
  <c r="ED122" i="13" s="1"/>
  <c r="EL122" i="13" a="1"/>
  <c r="EL122" i="13" s="1"/>
  <c r="GH106" i="13" a="1"/>
  <c r="GH106" i="13" s="1"/>
  <c r="GX106" i="13" a="1"/>
  <c r="GX106" i="13" s="1"/>
  <c r="FZ106" i="13" a="1"/>
  <c r="FZ106" i="13" s="1"/>
  <c r="GP106" i="13" a="1"/>
  <c r="GP106" i="13" s="1"/>
  <c r="FR106" i="13" a="1"/>
  <c r="FR106" i="13" s="1"/>
  <c r="ED106" i="13" a="1"/>
  <c r="ED106" i="13" s="1"/>
  <c r="FJ106" i="13" a="1"/>
  <c r="FJ106" i="13" s="1"/>
  <c r="ET106" i="13" a="1"/>
  <c r="ET106" i="13" s="1"/>
  <c r="FB106" i="13" a="1"/>
  <c r="FB106" i="13" s="1"/>
  <c r="EL106" i="13" a="1"/>
  <c r="EL106" i="13" s="1"/>
  <c r="GH98" i="13" a="1"/>
  <c r="GH98" i="13" s="1"/>
  <c r="GX98" i="13" a="1"/>
  <c r="GX98" i="13" s="1"/>
  <c r="GP98" i="13" a="1"/>
  <c r="GP98" i="13" s="1"/>
  <c r="FR98" i="13" a="1"/>
  <c r="FR98" i="13" s="1"/>
  <c r="EL98" i="13" a="1"/>
  <c r="EL98" i="13" s="1"/>
  <c r="FZ98" i="13" a="1"/>
  <c r="FZ98" i="13" s="1"/>
  <c r="ED98" i="13" a="1"/>
  <c r="ED98" i="13" s="1"/>
  <c r="ET98" i="13" a="1"/>
  <c r="ET98" i="13" s="1"/>
  <c r="FB98" i="13" a="1"/>
  <c r="FB98" i="13" s="1"/>
  <c r="FJ98" i="13" a="1"/>
  <c r="FJ98" i="13" s="1"/>
  <c r="FZ90" i="13" a="1"/>
  <c r="FZ90" i="13" s="1"/>
  <c r="GH90" i="13" a="1"/>
  <c r="GH90" i="13" s="1"/>
  <c r="GX90" i="13" a="1"/>
  <c r="GX90" i="13" s="1"/>
  <c r="FR90" i="13" a="1"/>
  <c r="FR90" i="13" s="1"/>
  <c r="FJ90" i="13" a="1"/>
  <c r="FJ90" i="13" s="1"/>
  <c r="GP90" i="13" a="1"/>
  <c r="GP90" i="13" s="1"/>
  <c r="EL90" i="13" a="1"/>
  <c r="EL90" i="13" s="1"/>
  <c r="ED90" i="13" a="1"/>
  <c r="ED90" i="13" s="1"/>
  <c r="ET90" i="13" a="1"/>
  <c r="ET90" i="13" s="1"/>
  <c r="FB90" i="13" a="1"/>
  <c r="FB90" i="13" s="1"/>
  <c r="FZ82" i="13" a="1"/>
  <c r="FZ82" i="13" s="1"/>
  <c r="FJ82" i="13" a="1"/>
  <c r="FJ82" i="13" s="1"/>
  <c r="GH82" i="13" a="1"/>
  <c r="GH82" i="13" s="1"/>
  <c r="GX82" i="13" a="1"/>
  <c r="GX82" i="13" s="1"/>
  <c r="EL82" i="13" a="1"/>
  <c r="EL82" i="13" s="1"/>
  <c r="FR82" i="13" a="1"/>
  <c r="FR82" i="13" s="1"/>
  <c r="FB82" i="13" a="1"/>
  <c r="FB82" i="13" s="1"/>
  <c r="GP82" i="13" a="1"/>
  <c r="GP82" i="13" s="1"/>
  <c r="ET82" i="13" a="1"/>
  <c r="ET82" i="13" s="1"/>
  <c r="ED82" i="13" a="1"/>
  <c r="ED82" i="13" s="1"/>
  <c r="FZ74" i="13" a="1"/>
  <c r="FZ74" i="13" s="1"/>
  <c r="FJ74" i="13" a="1"/>
  <c r="FJ74" i="13" s="1"/>
  <c r="GH74" i="13" a="1"/>
  <c r="GH74" i="13" s="1"/>
  <c r="GX74" i="13" a="1"/>
  <c r="GX74" i="13" s="1"/>
  <c r="ET74" i="13" a="1"/>
  <c r="ET74" i="13" s="1"/>
  <c r="EL74" i="13" a="1"/>
  <c r="EL74" i="13" s="1"/>
  <c r="GP74" i="13" a="1"/>
  <c r="GP74" i="13" s="1"/>
  <c r="FB74" i="13" a="1"/>
  <c r="FB74" i="13" s="1"/>
  <c r="FR74" i="13" a="1"/>
  <c r="FR74" i="13" s="1"/>
  <c r="ED74" i="13" a="1"/>
  <c r="ED74" i="13" s="1"/>
  <c r="FZ66" i="13" a="1"/>
  <c r="FZ66" i="13" s="1"/>
  <c r="GH66" i="13" a="1"/>
  <c r="GH66" i="13" s="1"/>
  <c r="GX66" i="13" a="1"/>
  <c r="GX66" i="13" s="1"/>
  <c r="GP66" i="13" a="1"/>
  <c r="GP66" i="13" s="1"/>
  <c r="EL66" i="13" a="1"/>
  <c r="EL66" i="13" s="1"/>
  <c r="FJ66" i="13" a="1"/>
  <c r="FJ66" i="13" s="1"/>
  <c r="ED66" i="13" a="1"/>
  <c r="ED66" i="13" s="1"/>
  <c r="FB66" i="13" a="1"/>
  <c r="FB66" i="13" s="1"/>
  <c r="FR66" i="13" a="1"/>
  <c r="FR66" i="13" s="1"/>
  <c r="ET66" i="13" a="1"/>
  <c r="ET66" i="13" s="1"/>
  <c r="GH58" i="13" a="1"/>
  <c r="GH58" i="13" s="1"/>
  <c r="GX58" i="13" a="1"/>
  <c r="GX58" i="13" s="1"/>
  <c r="GP58" i="13" a="1"/>
  <c r="GP58" i="13" s="1"/>
  <c r="FB58" i="13" a="1"/>
  <c r="FB58" i="13" s="1"/>
  <c r="FR58" i="13" a="1"/>
  <c r="FR58" i="13" s="1"/>
  <c r="ED58" i="13" a="1"/>
  <c r="ED58" i="13" s="1"/>
  <c r="FZ58" i="13" a="1"/>
  <c r="FZ58" i="13" s="1"/>
  <c r="ET58" i="13" a="1"/>
  <c r="ET58" i="13" s="1"/>
  <c r="EL58" i="13" a="1"/>
  <c r="EL58" i="13" s="1"/>
  <c r="FJ58" i="13" a="1"/>
  <c r="FJ58" i="13" s="1"/>
  <c r="FJ50" i="13" a="1"/>
  <c r="FJ50" i="13" s="1"/>
  <c r="FZ50" i="13" a="1"/>
  <c r="FZ50" i="13" s="1"/>
  <c r="FR50" i="13" a="1"/>
  <c r="FR50" i="13" s="1"/>
  <c r="GH50" i="13" a="1"/>
  <c r="GH50" i="13" s="1"/>
  <c r="GX50" i="13" a="1"/>
  <c r="GX50" i="13" s="1"/>
  <c r="GP50" i="13" a="1"/>
  <c r="GP50" i="13" s="1"/>
  <c r="ET50" i="13" a="1"/>
  <c r="ET50" i="13" s="1"/>
  <c r="FB50" i="13" a="1"/>
  <c r="FB50" i="13" s="1"/>
  <c r="ED50" i="13" a="1"/>
  <c r="ED50" i="13" s="1"/>
  <c r="EL50" i="13" a="1"/>
  <c r="EL50" i="13" s="1"/>
  <c r="FZ42" i="13" a="1"/>
  <c r="FZ42" i="13" s="1"/>
  <c r="GH42" i="13" a="1"/>
  <c r="GH42" i="13" s="1"/>
  <c r="GX42" i="13" a="1"/>
  <c r="GX42" i="13" s="1"/>
  <c r="FR42" i="13" a="1"/>
  <c r="FR42" i="13" s="1"/>
  <c r="GP42" i="13" a="1"/>
  <c r="GP42" i="13" s="1"/>
  <c r="ED42" i="13" a="1"/>
  <c r="ED42" i="13" s="1"/>
  <c r="FJ42" i="13" a="1"/>
  <c r="FJ42" i="13" s="1"/>
  <c r="EL42" i="13" a="1"/>
  <c r="EL42" i="13" s="1"/>
  <c r="FB42" i="13" a="1"/>
  <c r="FB42" i="13" s="1"/>
  <c r="ET42" i="13" a="1"/>
  <c r="ET42" i="13" s="1"/>
  <c r="GH29" i="13" a="1"/>
  <c r="GH29" i="13" s="1"/>
  <c r="GP29" i="13" a="1"/>
  <c r="GP29" i="13" s="1"/>
  <c r="GX29" i="13" a="1"/>
  <c r="GX29" i="13" s="1"/>
  <c r="FR29" i="13" a="1"/>
  <c r="FR29" i="13" s="1"/>
  <c r="FZ29" i="13" a="1"/>
  <c r="FZ29" i="13" s="1"/>
  <c r="FB29" i="13" a="1"/>
  <c r="FB29" i="13" s="1"/>
  <c r="FJ29" i="13" a="1"/>
  <c r="FJ29" i="13" s="1"/>
  <c r="EL29" i="13" a="1"/>
  <c r="EL29" i="13" s="1"/>
  <c r="ET29" i="13" a="1"/>
  <c r="ET29" i="13" s="1"/>
  <c r="ED29" i="13" a="1"/>
  <c r="ED29" i="13" s="1"/>
  <c r="FR137" i="13" a="1"/>
  <c r="FR137" i="13" s="1"/>
  <c r="FZ137" i="13" a="1"/>
  <c r="FZ137" i="13" s="1"/>
  <c r="GH137" i="13" a="1"/>
  <c r="GH137" i="13" s="1"/>
  <c r="FJ137" i="13" a="1"/>
  <c r="FJ137" i="13" s="1"/>
  <c r="GP137" i="13" a="1"/>
  <c r="GP137" i="13" s="1"/>
  <c r="GX137" i="13" a="1"/>
  <c r="GX137" i="13" s="1"/>
  <c r="FB137" i="13" a="1"/>
  <c r="FB137" i="13" s="1"/>
  <c r="ET137" i="13" a="1"/>
  <c r="ET137" i="13" s="1"/>
  <c r="ED137" i="13" a="1"/>
  <c r="ED137" i="13" s="1"/>
  <c r="EL137" i="13" a="1"/>
  <c r="EL137" i="13" s="1"/>
  <c r="FR129" i="13" a="1"/>
  <c r="FR129" i="13" s="1"/>
  <c r="FZ129" i="13" a="1"/>
  <c r="FZ129" i="13" s="1"/>
  <c r="GH129" i="13" a="1"/>
  <c r="GH129" i="13" s="1"/>
  <c r="GP129" i="13" a="1"/>
  <c r="GP129" i="13" s="1"/>
  <c r="FJ129" i="13" a="1"/>
  <c r="FJ129" i="13" s="1"/>
  <c r="GX129" i="13" a="1"/>
  <c r="GX129" i="13" s="1"/>
  <c r="FB129" i="13" a="1"/>
  <c r="FB129" i="13" s="1"/>
  <c r="EL129" i="13" a="1"/>
  <c r="EL129" i="13" s="1"/>
  <c r="ED129" i="13" a="1"/>
  <c r="ED129" i="13" s="1"/>
  <c r="ET129" i="13" a="1"/>
  <c r="ET129" i="13" s="1"/>
  <c r="GH113" i="13" a="1"/>
  <c r="GH113" i="13" s="1"/>
  <c r="FZ113" i="13" a="1"/>
  <c r="FZ113" i="13" s="1"/>
  <c r="FR113" i="13" a="1"/>
  <c r="FR113" i="13" s="1"/>
  <c r="GP113" i="13" a="1"/>
  <c r="GP113" i="13" s="1"/>
  <c r="GX113" i="13" a="1"/>
  <c r="GX113" i="13" s="1"/>
  <c r="FJ113" i="13" a="1"/>
  <c r="FJ113" i="13" s="1"/>
  <c r="FB113" i="13" a="1"/>
  <c r="FB113" i="13" s="1"/>
  <c r="EL113" i="13" a="1"/>
  <c r="EL113" i="13" s="1"/>
  <c r="ED113" i="13" a="1"/>
  <c r="ED113" i="13" s="1"/>
  <c r="ET113" i="13" a="1"/>
  <c r="ET113" i="13" s="1"/>
  <c r="GH97" i="13" a="1"/>
  <c r="GH97" i="13" s="1"/>
  <c r="GP97" i="13" a="1"/>
  <c r="GP97" i="13" s="1"/>
  <c r="GX97" i="13" a="1"/>
  <c r="GX97" i="13" s="1"/>
  <c r="FZ97" i="13" a="1"/>
  <c r="FZ97" i="13" s="1"/>
  <c r="FB97" i="13" a="1"/>
  <c r="FB97" i="13" s="1"/>
  <c r="FR97" i="13" a="1"/>
  <c r="FR97" i="13" s="1"/>
  <c r="EL97" i="13" a="1"/>
  <c r="EL97" i="13" s="1"/>
  <c r="ET97" i="13" a="1"/>
  <c r="ET97" i="13" s="1"/>
  <c r="FJ97" i="13" a="1"/>
  <c r="FJ97" i="13" s="1"/>
  <c r="ED97" i="13" a="1"/>
  <c r="ED97" i="13" s="1"/>
  <c r="GH89" i="13" a="1"/>
  <c r="GH89" i="13" s="1"/>
  <c r="FR89" i="13" a="1"/>
  <c r="FR89" i="13" s="1"/>
  <c r="GP89" i="13" a="1"/>
  <c r="GP89" i="13" s="1"/>
  <c r="FJ89" i="13" a="1"/>
  <c r="FJ89" i="13" s="1"/>
  <c r="GX89" i="13" a="1"/>
  <c r="GX89" i="13" s="1"/>
  <c r="FZ89" i="13" a="1"/>
  <c r="FZ89" i="13" s="1"/>
  <c r="FB89" i="13" a="1"/>
  <c r="FB89" i="13" s="1"/>
  <c r="ED89" i="13" a="1"/>
  <c r="ED89" i="13" s="1"/>
  <c r="EL89" i="13" a="1"/>
  <c r="EL89" i="13" s="1"/>
  <c r="ET89" i="13" a="1"/>
  <c r="ET89" i="13" s="1"/>
  <c r="FJ73" i="13" a="1"/>
  <c r="FJ73" i="13" s="1"/>
  <c r="GH73" i="13" a="1"/>
  <c r="GH73" i="13" s="1"/>
  <c r="GP73" i="13" a="1"/>
  <c r="GP73" i="13" s="1"/>
  <c r="FZ73" i="13" a="1"/>
  <c r="FZ73" i="13" s="1"/>
  <c r="ET73" i="13" a="1"/>
  <c r="ET73" i="13" s="1"/>
  <c r="GX73" i="13" a="1"/>
  <c r="GX73" i="13" s="1"/>
  <c r="FR73" i="13" a="1"/>
  <c r="FR73" i="13" s="1"/>
  <c r="EL73" i="13" a="1"/>
  <c r="EL73" i="13" s="1"/>
  <c r="FB73" i="13" a="1"/>
  <c r="FB73" i="13" s="1"/>
  <c r="ED73" i="13" a="1"/>
  <c r="ED73" i="13" s="1"/>
  <c r="FZ57" i="13" a="1"/>
  <c r="FZ57" i="13" s="1"/>
  <c r="FR57" i="13" a="1"/>
  <c r="FR57" i="13" s="1"/>
  <c r="GH57" i="13" a="1"/>
  <c r="GH57" i="13" s="1"/>
  <c r="GP57" i="13" a="1"/>
  <c r="GP57" i="13" s="1"/>
  <c r="FB57" i="13" a="1"/>
  <c r="FB57" i="13" s="1"/>
  <c r="GX57" i="13" a="1"/>
  <c r="GX57" i="13" s="1"/>
  <c r="FJ57" i="13" a="1"/>
  <c r="FJ57" i="13" s="1"/>
  <c r="ET57" i="13" a="1"/>
  <c r="ET57" i="13" s="1"/>
  <c r="ED57" i="13" a="1"/>
  <c r="ED57" i="13" s="1"/>
  <c r="EL57" i="13" a="1"/>
  <c r="EL57" i="13" s="1"/>
  <c r="FZ41" i="13" a="1"/>
  <c r="FZ41" i="13" s="1"/>
  <c r="GH41" i="13" a="1"/>
  <c r="GH41" i="13" s="1"/>
  <c r="GP41" i="13" a="1"/>
  <c r="GP41" i="13" s="1"/>
  <c r="GX41" i="13" a="1"/>
  <c r="GX41" i="13" s="1"/>
  <c r="FR41" i="13" a="1"/>
  <c r="FR41" i="13" s="1"/>
  <c r="FJ41" i="13" a="1"/>
  <c r="FJ41" i="13" s="1"/>
  <c r="EL41" i="13" a="1"/>
  <c r="EL41" i="13" s="1"/>
  <c r="ET41" i="13" a="1"/>
  <c r="ET41" i="13" s="1"/>
  <c r="FB41" i="13" a="1"/>
  <c r="FB41" i="13" s="1"/>
  <c r="ED41" i="13" a="1"/>
  <c r="ED41" i="13" s="1"/>
  <c r="GP28" i="13" a="1"/>
  <c r="GP28" i="13" s="1"/>
  <c r="GX28" i="13" a="1"/>
  <c r="GX28" i="13" s="1"/>
  <c r="GH28" i="13" a="1"/>
  <c r="GH28" i="13" s="1"/>
  <c r="FZ28" i="13" a="1"/>
  <c r="FZ28" i="13" s="1"/>
  <c r="ET28" i="13" a="1"/>
  <c r="ET28" i="13" s="1"/>
  <c r="FJ28" i="13" a="1"/>
  <c r="FJ28" i="13" s="1"/>
  <c r="FR28" i="13" a="1"/>
  <c r="FR28" i="13" s="1"/>
  <c r="FB28" i="13" a="1"/>
  <c r="FB28" i="13" s="1"/>
  <c r="EL28" i="13" a="1"/>
  <c r="EL28" i="13" s="1"/>
  <c r="ED28" i="13" a="1"/>
  <c r="ED28" i="13" s="1"/>
  <c r="FZ136" i="13" a="1"/>
  <c r="FZ136" i="13" s="1"/>
  <c r="GH136" i="13" a="1"/>
  <c r="GH136" i="13" s="1"/>
  <c r="FJ136" i="13" a="1"/>
  <c r="FJ136" i="13" s="1"/>
  <c r="GX136" i="13" a="1"/>
  <c r="GX136" i="13" s="1"/>
  <c r="GP136" i="13" a="1"/>
  <c r="GP136" i="13" s="1"/>
  <c r="FR136" i="13" a="1"/>
  <c r="FR136" i="13" s="1"/>
  <c r="FB136" i="13" a="1"/>
  <c r="FB136" i="13" s="1"/>
  <c r="ET136" i="13" a="1"/>
  <c r="ET136" i="13" s="1"/>
  <c r="EL136" i="13" a="1"/>
  <c r="EL136" i="13" s="1"/>
  <c r="ED136" i="13" a="1"/>
  <c r="ED136" i="13" s="1"/>
  <c r="FR128" i="13" a="1"/>
  <c r="FR128" i="13" s="1"/>
  <c r="FZ128" i="13" a="1"/>
  <c r="FZ128" i="13" s="1"/>
  <c r="GH128" i="13" a="1"/>
  <c r="GH128" i="13" s="1"/>
  <c r="FJ128" i="13" a="1"/>
  <c r="FJ128" i="13" s="1"/>
  <c r="GX128" i="13" a="1"/>
  <c r="GX128" i="13" s="1"/>
  <c r="GP128" i="13" a="1"/>
  <c r="GP128" i="13" s="1"/>
  <c r="EL128" i="13" a="1"/>
  <c r="EL128" i="13" s="1"/>
  <c r="ED128" i="13" a="1"/>
  <c r="ED128" i="13" s="1"/>
  <c r="FB128" i="13" a="1"/>
  <c r="FB128" i="13" s="1"/>
  <c r="ET128" i="13" a="1"/>
  <c r="ET128" i="13" s="1"/>
  <c r="GX27" i="13" a="1"/>
  <c r="GX27" i="13" s="1"/>
  <c r="FJ27" i="13" a="1"/>
  <c r="FJ27" i="13" s="1"/>
  <c r="FR27" i="13" a="1"/>
  <c r="FR27" i="13" s="1"/>
  <c r="GP27" i="13" a="1"/>
  <c r="GP27" i="13" s="1"/>
  <c r="FB27" i="13" a="1"/>
  <c r="FB27" i="13" s="1"/>
  <c r="EL27" i="13" a="1"/>
  <c r="EL27" i="13" s="1"/>
  <c r="GH27" i="13" a="1"/>
  <c r="GH27" i="13" s="1"/>
  <c r="ET27" i="13" a="1"/>
  <c r="ET27" i="13" s="1"/>
  <c r="FZ27" i="13" a="1"/>
  <c r="FZ27" i="13" s="1"/>
  <c r="ED27" i="13" a="1"/>
  <c r="ED27" i="13" s="1"/>
  <c r="GH37" i="13" a="1"/>
  <c r="GH37" i="13" s="1"/>
  <c r="GP37" i="13" a="1"/>
  <c r="GP37" i="13" s="1"/>
  <c r="GX37" i="13" a="1"/>
  <c r="GX37" i="13" s="1"/>
  <c r="FZ37" i="13" a="1"/>
  <c r="FZ37" i="13" s="1"/>
  <c r="FR37" i="13" a="1"/>
  <c r="FR37" i="13" s="1"/>
  <c r="ED37" i="13" a="1"/>
  <c r="ED37" i="13" s="1"/>
  <c r="FB37" i="13" a="1"/>
  <c r="FB37" i="13" s="1"/>
  <c r="ET37" i="13" a="1"/>
  <c r="ET37" i="13" s="1"/>
  <c r="EL37" i="13" a="1"/>
  <c r="EL37" i="13" s="1"/>
  <c r="FJ37" i="13" a="1"/>
  <c r="FJ37" i="13" s="1"/>
  <c r="FZ135" i="13" a="1"/>
  <c r="FZ135" i="13" s="1"/>
  <c r="GH135" i="13" a="1"/>
  <c r="GH135" i="13" s="1"/>
  <c r="GX135" i="13" a="1"/>
  <c r="GX135" i="13" s="1"/>
  <c r="GP135" i="13" a="1"/>
  <c r="GP135" i="13" s="1"/>
  <c r="FR135" i="13" a="1"/>
  <c r="FR135" i="13" s="1"/>
  <c r="FJ135" i="13" a="1"/>
  <c r="FJ135" i="13" s="1"/>
  <c r="EL135" i="13" a="1"/>
  <c r="EL135" i="13" s="1"/>
  <c r="ET135" i="13" a="1"/>
  <c r="ET135" i="13" s="1"/>
  <c r="ED135" i="13" a="1"/>
  <c r="ED135" i="13" s="1"/>
  <c r="FB135" i="13" a="1"/>
  <c r="FB135" i="13" s="1"/>
  <c r="FZ127" i="13" a="1"/>
  <c r="FZ127" i="13" s="1"/>
  <c r="GH127" i="13" a="1"/>
  <c r="GH127" i="13" s="1"/>
  <c r="FJ127" i="13" a="1"/>
  <c r="FJ127" i="13" s="1"/>
  <c r="GX127" i="13" a="1"/>
  <c r="GX127" i="13" s="1"/>
  <c r="GP127" i="13" a="1"/>
  <c r="GP127" i="13" s="1"/>
  <c r="FB127" i="13" a="1"/>
  <c r="FB127" i="13" s="1"/>
  <c r="FR127" i="13" a="1"/>
  <c r="FR127" i="13" s="1"/>
  <c r="EL127" i="13" a="1"/>
  <c r="EL127" i="13" s="1"/>
  <c r="ET127" i="13" a="1"/>
  <c r="ET127" i="13" s="1"/>
  <c r="ED127" i="13" a="1"/>
  <c r="ED127" i="13" s="1"/>
  <c r="GH119" i="13" a="1"/>
  <c r="GH119" i="13" s="1"/>
  <c r="FZ119" i="13" a="1"/>
  <c r="FZ119" i="13" s="1"/>
  <c r="FR119" i="13" a="1"/>
  <c r="FR119" i="13" s="1"/>
  <c r="GX119" i="13" a="1"/>
  <c r="GX119" i="13" s="1"/>
  <c r="GP119" i="13" a="1"/>
  <c r="GP119" i="13" s="1"/>
  <c r="FJ119" i="13" a="1"/>
  <c r="FJ119" i="13" s="1"/>
  <c r="ET119" i="13" a="1"/>
  <c r="ET119" i="13" s="1"/>
  <c r="FB119" i="13" a="1"/>
  <c r="FB119" i="13" s="1"/>
  <c r="EL119" i="13" a="1"/>
  <c r="EL119" i="13" s="1"/>
  <c r="ED119" i="13" a="1"/>
  <c r="ED119" i="13" s="1"/>
  <c r="GH111" i="13" a="1"/>
  <c r="GH111" i="13" s="1"/>
  <c r="FZ111" i="13" a="1"/>
  <c r="FZ111" i="13" s="1"/>
  <c r="FR111" i="13" a="1"/>
  <c r="FR111" i="13" s="1"/>
  <c r="GX111" i="13" a="1"/>
  <c r="GX111" i="13" s="1"/>
  <c r="GP111" i="13" a="1"/>
  <c r="GP111" i="13" s="1"/>
  <c r="ED111" i="13" a="1"/>
  <c r="ED111" i="13" s="1"/>
  <c r="ET111" i="13" a="1"/>
  <c r="ET111" i="13" s="1"/>
  <c r="FJ111" i="13" a="1"/>
  <c r="FJ111" i="13" s="1"/>
  <c r="EL111" i="13" a="1"/>
  <c r="EL111" i="13" s="1"/>
  <c r="FB111" i="13" a="1"/>
  <c r="FB111" i="13" s="1"/>
  <c r="GH103" i="13" a="1"/>
  <c r="GH103" i="13" s="1"/>
  <c r="FZ103" i="13" a="1"/>
  <c r="FZ103" i="13" s="1"/>
  <c r="GP103" i="13" a="1"/>
  <c r="GP103" i="13" s="1"/>
  <c r="FR103" i="13" a="1"/>
  <c r="FR103" i="13" s="1"/>
  <c r="FJ103" i="13" a="1"/>
  <c r="FJ103" i="13" s="1"/>
  <c r="GX103" i="13" a="1"/>
  <c r="GX103" i="13" s="1"/>
  <c r="FB103" i="13" a="1"/>
  <c r="FB103" i="13" s="1"/>
  <c r="ET103" i="13" a="1"/>
  <c r="ET103" i="13" s="1"/>
  <c r="ED103" i="13" a="1"/>
  <c r="ED103" i="13" s="1"/>
  <c r="EL103" i="13" a="1"/>
  <c r="EL103" i="13" s="1"/>
  <c r="GH95" i="13" a="1"/>
  <c r="GH95" i="13" s="1"/>
  <c r="GP95" i="13" a="1"/>
  <c r="GP95" i="13" s="1"/>
  <c r="GX95" i="13" a="1"/>
  <c r="GX95" i="13" s="1"/>
  <c r="FZ95" i="13" a="1"/>
  <c r="FZ95" i="13" s="1"/>
  <c r="ET95" i="13" a="1"/>
  <c r="ET95" i="13" s="1"/>
  <c r="FJ95" i="13" a="1"/>
  <c r="FJ95" i="13" s="1"/>
  <c r="FR95" i="13" a="1"/>
  <c r="FR95" i="13" s="1"/>
  <c r="EL95" i="13" a="1"/>
  <c r="EL95" i="13" s="1"/>
  <c r="FB95" i="13" a="1"/>
  <c r="FB95" i="13" s="1"/>
  <c r="ED95" i="13" a="1"/>
  <c r="ED95" i="13" s="1"/>
  <c r="GH87" i="13" a="1"/>
  <c r="GH87" i="13" s="1"/>
  <c r="GP87" i="13" a="1"/>
  <c r="GP87" i="13" s="1"/>
  <c r="FR87" i="13" a="1"/>
  <c r="FR87" i="13" s="1"/>
  <c r="GX87" i="13" a="1"/>
  <c r="GX87" i="13" s="1"/>
  <c r="FJ87" i="13" a="1"/>
  <c r="FJ87" i="13" s="1"/>
  <c r="FZ87" i="13" a="1"/>
  <c r="FZ87" i="13" s="1"/>
  <c r="EL87" i="13" a="1"/>
  <c r="EL87" i="13" s="1"/>
  <c r="ED87" i="13" a="1"/>
  <c r="ED87" i="13" s="1"/>
  <c r="FB87" i="13" a="1"/>
  <c r="FB87" i="13" s="1"/>
  <c r="ET87" i="13" a="1"/>
  <c r="ET87" i="13" s="1"/>
  <c r="GH79" i="13" a="1"/>
  <c r="GH79" i="13" s="1"/>
  <c r="GP79" i="13" a="1"/>
  <c r="GP79" i="13" s="1"/>
  <c r="FR79" i="13" a="1"/>
  <c r="FR79" i="13" s="1"/>
  <c r="GX79" i="13" a="1"/>
  <c r="GX79" i="13" s="1"/>
  <c r="FZ79" i="13" a="1"/>
  <c r="FZ79" i="13" s="1"/>
  <c r="EL79" i="13" a="1"/>
  <c r="EL79" i="13" s="1"/>
  <c r="FJ79" i="13" a="1"/>
  <c r="FJ79" i="13" s="1"/>
  <c r="ET79" i="13" a="1"/>
  <c r="ET79" i="13" s="1"/>
  <c r="FB79" i="13" a="1"/>
  <c r="FB79" i="13" s="1"/>
  <c r="ED79" i="13" a="1"/>
  <c r="ED79" i="13" s="1"/>
  <c r="GH71" i="13" a="1"/>
  <c r="GH71" i="13" s="1"/>
  <c r="GP71" i="13" a="1"/>
  <c r="GP71" i="13" s="1"/>
  <c r="FR71" i="13" a="1"/>
  <c r="FR71" i="13" s="1"/>
  <c r="GX71" i="13" a="1"/>
  <c r="GX71" i="13" s="1"/>
  <c r="FB71" i="13" a="1"/>
  <c r="FB71" i="13" s="1"/>
  <c r="FZ71" i="13" a="1"/>
  <c r="FZ71" i="13" s="1"/>
  <c r="ET71" i="13" a="1"/>
  <c r="ET71" i="13" s="1"/>
  <c r="EL71" i="13" a="1"/>
  <c r="EL71" i="13" s="1"/>
  <c r="FJ71" i="13" a="1"/>
  <c r="FJ71" i="13" s="1"/>
  <c r="ED71" i="13" a="1"/>
  <c r="ED71" i="13" s="1"/>
  <c r="GH63" i="13" a="1"/>
  <c r="GH63" i="13" s="1"/>
  <c r="GP63" i="13" a="1"/>
  <c r="GP63" i="13" s="1"/>
  <c r="GX63" i="13" a="1"/>
  <c r="GX63" i="13" s="1"/>
  <c r="FJ63" i="13" a="1"/>
  <c r="FJ63" i="13" s="1"/>
  <c r="FB63" i="13" a="1"/>
  <c r="FB63" i="13" s="1"/>
  <c r="FZ63" i="13" a="1"/>
  <c r="FZ63" i="13" s="1"/>
  <c r="FR63" i="13" a="1"/>
  <c r="FR63" i="13" s="1"/>
  <c r="EL63" i="13" a="1"/>
  <c r="EL63" i="13" s="1"/>
  <c r="ET63" i="13" a="1"/>
  <c r="ET63" i="13" s="1"/>
  <c r="ED63" i="13" a="1"/>
  <c r="ED63" i="13" s="1"/>
  <c r="FR55" i="13" a="1"/>
  <c r="FR55" i="13" s="1"/>
  <c r="GH55" i="13" a="1"/>
  <c r="GH55" i="13" s="1"/>
  <c r="GP55" i="13" a="1"/>
  <c r="GP55" i="13" s="1"/>
  <c r="GX55" i="13" a="1"/>
  <c r="GX55" i="13" s="1"/>
  <c r="FJ55" i="13" a="1"/>
  <c r="FJ55" i="13" s="1"/>
  <c r="FZ55" i="13" a="1"/>
  <c r="FZ55" i="13" s="1"/>
  <c r="ET55" i="13" a="1"/>
  <c r="ET55" i="13" s="1"/>
  <c r="EL55" i="13" a="1"/>
  <c r="EL55" i="13" s="1"/>
  <c r="ED55" i="13" a="1"/>
  <c r="ED55" i="13" s="1"/>
  <c r="FB55" i="13" a="1"/>
  <c r="FB55" i="13" s="1"/>
  <c r="GH47" i="13" a="1"/>
  <c r="GH47" i="13" s="1"/>
  <c r="GP47" i="13" a="1"/>
  <c r="GP47" i="13" s="1"/>
  <c r="GX47" i="13" a="1"/>
  <c r="GX47" i="13" s="1"/>
  <c r="FZ47" i="13" a="1"/>
  <c r="FZ47" i="13" s="1"/>
  <c r="FB47" i="13" a="1"/>
  <c r="FB47" i="13" s="1"/>
  <c r="ED47" i="13" a="1"/>
  <c r="ED47" i="13" s="1"/>
  <c r="ET47" i="13" a="1"/>
  <c r="ET47" i="13" s="1"/>
  <c r="EL47" i="13" a="1"/>
  <c r="EL47" i="13" s="1"/>
  <c r="FR47" i="13" a="1"/>
  <c r="FR47" i="13" s="1"/>
  <c r="FJ47" i="13" a="1"/>
  <c r="FJ47" i="13" s="1"/>
  <c r="FZ39" i="13" a="1"/>
  <c r="FZ39" i="13" s="1"/>
  <c r="GH39" i="13" a="1"/>
  <c r="GH39" i="13" s="1"/>
  <c r="GP39" i="13" a="1"/>
  <c r="GP39" i="13" s="1"/>
  <c r="GX39" i="13" a="1"/>
  <c r="GX39" i="13" s="1"/>
  <c r="ED39" i="13" a="1"/>
  <c r="ED39" i="13" s="1"/>
  <c r="ET39" i="13" a="1"/>
  <c r="ET39" i="13" s="1"/>
  <c r="FJ39" i="13" a="1"/>
  <c r="FJ39" i="13" s="1"/>
  <c r="FB39" i="13" a="1"/>
  <c r="FB39" i="13" s="1"/>
  <c r="FR39" i="13" a="1"/>
  <c r="FR39" i="13" s="1"/>
  <c r="EL39" i="13" a="1"/>
  <c r="EL39" i="13" s="1"/>
  <c r="FR25" i="13" a="1"/>
  <c r="FR25" i="13" s="1"/>
  <c r="FZ25" i="13" a="1"/>
  <c r="FZ25" i="13" s="1"/>
  <c r="GH25" i="13" a="1"/>
  <c r="GH25" i="13" s="1"/>
  <c r="FB25" i="13" a="1"/>
  <c r="FB25" i="13" s="1"/>
  <c r="GP25" i="13" a="1"/>
  <c r="GP25" i="13" s="1"/>
  <c r="EL25" i="13" a="1"/>
  <c r="EL25" i="13" s="1"/>
  <c r="FJ25" i="13" a="1"/>
  <c r="FJ25" i="13" s="1"/>
  <c r="ET25" i="13" a="1"/>
  <c r="ET25" i="13" s="1"/>
  <c r="GX25" i="13" a="1"/>
  <c r="GX25" i="13" s="1"/>
  <c r="FR24" i="13" a="1"/>
  <c r="FR24" i="13" s="1"/>
  <c r="FZ24" i="13" a="1"/>
  <c r="FZ24" i="13" s="1"/>
  <c r="GH24" i="13" a="1"/>
  <c r="GH24" i="13" s="1"/>
  <c r="FB24" i="13" a="1"/>
  <c r="FB24" i="13" s="1"/>
  <c r="GP24" i="13" a="1"/>
  <c r="GP24" i="13" s="1"/>
  <c r="GX24" i="13" a="1"/>
  <c r="GX24" i="13" s="1"/>
  <c r="EL24" i="13" a="1"/>
  <c r="EL24" i="13" s="1"/>
  <c r="FJ24" i="13" a="1"/>
  <c r="FJ24" i="13" s="1"/>
  <c r="ET24" i="13" a="1"/>
  <c r="ET24" i="13" s="1"/>
  <c r="ED24" i="13" a="1"/>
  <c r="ED24" i="13" s="1"/>
  <c r="FZ23" i="13" a="1"/>
  <c r="FZ23" i="13" s="1"/>
  <c r="GH23" i="13" a="1"/>
  <c r="GH23" i="13" s="1"/>
  <c r="GP23" i="13" a="1"/>
  <c r="GP23" i="13" s="1"/>
  <c r="GX23" i="13" a="1"/>
  <c r="GX23" i="13" s="1"/>
  <c r="FJ23" i="13" a="1"/>
  <c r="FJ23" i="13" s="1"/>
  <c r="FR23" i="13" a="1"/>
  <c r="FR23" i="13" s="1"/>
  <c r="FB23" i="13" a="1"/>
  <c r="FB23" i="13" s="1"/>
  <c r="ET23" i="13" a="1"/>
  <c r="ET23" i="13" s="1"/>
  <c r="EL23" i="13" a="1"/>
  <c r="EL23" i="13" s="1"/>
  <c r="ED23" i="13" a="1"/>
  <c r="ED23" i="13" s="1"/>
  <c r="FZ30" i="13" a="1"/>
  <c r="FZ30" i="13" s="1"/>
  <c r="GH30" i="13" a="1"/>
  <c r="GH30" i="13" s="1"/>
  <c r="GP30" i="13" a="1"/>
  <c r="GP30" i="13" s="1"/>
  <c r="GX30" i="13" a="1"/>
  <c r="GX30" i="13" s="1"/>
  <c r="FR30" i="13" a="1"/>
  <c r="FR30" i="13" s="1"/>
  <c r="ED30" i="13" a="1"/>
  <c r="ED30" i="13" s="1"/>
  <c r="FJ30" i="13" a="1"/>
  <c r="FJ30" i="13" s="1"/>
  <c r="EL30" i="13" a="1"/>
  <c r="EL30" i="13" s="1"/>
  <c r="ET30" i="13" a="1"/>
  <c r="ET30" i="13" s="1"/>
  <c r="FB30" i="13" a="1"/>
  <c r="FB30" i="13" s="1"/>
  <c r="FZ32" i="13" a="1"/>
  <c r="FZ32" i="13" s="1"/>
  <c r="FJ32" i="13" a="1"/>
  <c r="FJ32" i="13" s="1"/>
  <c r="GH32" i="13" a="1"/>
  <c r="GH32" i="13" s="1"/>
  <c r="GP32" i="13" a="1"/>
  <c r="GP32" i="13" s="1"/>
  <c r="GX32" i="13" a="1"/>
  <c r="GX32" i="13" s="1"/>
  <c r="FR32" i="13" a="1"/>
  <c r="FR32" i="13" s="1"/>
  <c r="ED32" i="13" a="1"/>
  <c r="ED32" i="13" s="1"/>
  <c r="FB32" i="13" a="1"/>
  <c r="FB32" i="13" s="1"/>
  <c r="EL32" i="13" a="1"/>
  <c r="EL32" i="13" s="1"/>
  <c r="ET32" i="13" a="1"/>
  <c r="ET32" i="13" s="1"/>
  <c r="FJ114" i="13" a="1"/>
  <c r="FJ114" i="13" s="1"/>
  <c r="GH114" i="13" a="1"/>
  <c r="GH114" i="13" s="1"/>
  <c r="GX114" i="13" a="1"/>
  <c r="GX114" i="13" s="1"/>
  <c r="GP114" i="13" a="1"/>
  <c r="GP114" i="13" s="1"/>
  <c r="FR114" i="13" a="1"/>
  <c r="FR114" i="13" s="1"/>
  <c r="FB114" i="13" a="1"/>
  <c r="FB114" i="13" s="1"/>
  <c r="EL114" i="13" a="1"/>
  <c r="EL114" i="13" s="1"/>
  <c r="FZ114" i="13" a="1"/>
  <c r="FZ114" i="13" s="1"/>
  <c r="ET114" i="13" a="1"/>
  <c r="ET114" i="13" s="1"/>
  <c r="ED114" i="13" a="1"/>
  <c r="ED114" i="13" s="1"/>
  <c r="FR26" i="13" a="1"/>
  <c r="FR26" i="13" s="1"/>
  <c r="FZ26" i="13" a="1"/>
  <c r="FZ26" i="13" s="1"/>
  <c r="GH26" i="13" a="1"/>
  <c r="GH26" i="13" s="1"/>
  <c r="GX26" i="13" a="1"/>
  <c r="GX26" i="13" s="1"/>
  <c r="FB26" i="13" a="1"/>
  <c r="FB26" i="13" s="1"/>
  <c r="EL26" i="13" a="1"/>
  <c r="EL26" i="13" s="1"/>
  <c r="GP26" i="13" a="1"/>
  <c r="GP26" i="13" s="1"/>
  <c r="FJ26" i="13" a="1"/>
  <c r="FJ26" i="13" s="1"/>
  <c r="ET26" i="13" a="1"/>
  <c r="ET26" i="13" s="1"/>
  <c r="ED26" i="13" a="1"/>
  <c r="ED26" i="13" s="1"/>
  <c r="FZ31" i="13" a="1"/>
  <c r="FZ31" i="13" s="1"/>
  <c r="FJ31" i="13" a="1"/>
  <c r="FJ31" i="13" s="1"/>
  <c r="GH31" i="13" a="1"/>
  <c r="GH31" i="13" s="1"/>
  <c r="GP31" i="13" a="1"/>
  <c r="GP31" i="13" s="1"/>
  <c r="GX31" i="13" a="1"/>
  <c r="GX31" i="13" s="1"/>
  <c r="FR31" i="13" a="1"/>
  <c r="FR31" i="13" s="1"/>
  <c r="ET31" i="13" a="1"/>
  <c r="ET31" i="13" s="1"/>
  <c r="FB31" i="13" a="1"/>
  <c r="FB31" i="13" s="1"/>
  <c r="ED31" i="13" a="1"/>
  <c r="ED31" i="13" s="1"/>
  <c r="EL31" i="13" a="1"/>
  <c r="EL31" i="13" s="1"/>
  <c r="GP36" i="13" a="1"/>
  <c r="GP36" i="13" s="1"/>
  <c r="GX36" i="13" a="1"/>
  <c r="GX36" i="13" s="1"/>
  <c r="FR36" i="13" a="1"/>
  <c r="FR36" i="13" s="1"/>
  <c r="GH36" i="13" a="1"/>
  <c r="GH36" i="13" s="1"/>
  <c r="FZ36" i="13" a="1"/>
  <c r="FZ36" i="13" s="1"/>
  <c r="FJ36" i="13" a="1"/>
  <c r="FJ36" i="13" s="1"/>
  <c r="EL36" i="13" a="1"/>
  <c r="EL36" i="13" s="1"/>
  <c r="FB36" i="13" a="1"/>
  <c r="FB36" i="13" s="1"/>
  <c r="ET36" i="13" a="1"/>
  <c r="ET36" i="13" s="1"/>
  <c r="ED36" i="13" a="1"/>
  <c r="ED36" i="13" s="1"/>
  <c r="GH134" i="13" a="1"/>
  <c r="GH134" i="13" s="1"/>
  <c r="FJ134" i="13" a="1"/>
  <c r="FJ134" i="13" s="1"/>
  <c r="GX134" i="13" a="1"/>
  <c r="GX134" i="13" s="1"/>
  <c r="GP134" i="13" a="1"/>
  <c r="GP134" i="13" s="1"/>
  <c r="FZ134" i="13" a="1"/>
  <c r="FZ134" i="13" s="1"/>
  <c r="FR134" i="13" a="1"/>
  <c r="FR134" i="13" s="1"/>
  <c r="ET134" i="13" a="1"/>
  <c r="ET134" i="13" s="1"/>
  <c r="ED134" i="13" a="1"/>
  <c r="ED134" i="13" s="1"/>
  <c r="EL134" i="13" a="1"/>
  <c r="EL134" i="13" s="1"/>
  <c r="FB134" i="13" a="1"/>
  <c r="FB134" i="13" s="1"/>
  <c r="GH126" i="13" a="1"/>
  <c r="GH126" i="13" s="1"/>
  <c r="GX126" i="13" a="1"/>
  <c r="GX126" i="13" s="1"/>
  <c r="GP126" i="13" a="1"/>
  <c r="GP126" i="13" s="1"/>
  <c r="FB126" i="13" a="1"/>
  <c r="FB126" i="13" s="1"/>
  <c r="ET126" i="13" a="1"/>
  <c r="ET126" i="13" s="1"/>
  <c r="ED126" i="13" a="1"/>
  <c r="ED126" i="13" s="1"/>
  <c r="FR126" i="13" a="1"/>
  <c r="FR126" i="13" s="1"/>
  <c r="EL126" i="13" a="1"/>
  <c r="EL126" i="13" s="1"/>
  <c r="FJ126" i="13" a="1"/>
  <c r="FJ126" i="13" s="1"/>
  <c r="FZ126" i="13" a="1"/>
  <c r="FZ126" i="13" s="1"/>
  <c r="GH118" i="13" a="1"/>
  <c r="GH118" i="13" s="1"/>
  <c r="FZ118" i="13" a="1"/>
  <c r="FZ118" i="13" s="1"/>
  <c r="FR118" i="13" a="1"/>
  <c r="FR118" i="13" s="1"/>
  <c r="GX118" i="13" a="1"/>
  <c r="GX118" i="13" s="1"/>
  <c r="GP118" i="13" a="1"/>
  <c r="GP118" i="13" s="1"/>
  <c r="FJ118" i="13" a="1"/>
  <c r="FJ118" i="13" s="1"/>
  <c r="FB118" i="13" a="1"/>
  <c r="FB118" i="13" s="1"/>
  <c r="ET118" i="13" a="1"/>
  <c r="ET118" i="13" s="1"/>
  <c r="EL118" i="13" a="1"/>
  <c r="EL118" i="13" s="1"/>
  <c r="ED118" i="13" a="1"/>
  <c r="ED118" i="13" s="1"/>
  <c r="GH110" i="13" a="1"/>
  <c r="GH110" i="13" s="1"/>
  <c r="FZ110" i="13" a="1"/>
  <c r="FZ110" i="13" s="1"/>
  <c r="GP110" i="13" a="1"/>
  <c r="GP110" i="13" s="1"/>
  <c r="GX110" i="13" a="1"/>
  <c r="GX110" i="13" s="1"/>
  <c r="ET110" i="13" a="1"/>
  <c r="ET110" i="13" s="1"/>
  <c r="FJ110" i="13" a="1"/>
  <c r="FJ110" i="13" s="1"/>
  <c r="ED110" i="13" a="1"/>
  <c r="ED110" i="13" s="1"/>
  <c r="FR110" i="13" a="1"/>
  <c r="FR110" i="13" s="1"/>
  <c r="FB110" i="13" a="1"/>
  <c r="FB110" i="13" s="1"/>
  <c r="EL110" i="13" a="1"/>
  <c r="EL110" i="13" s="1"/>
  <c r="GH102" i="13" a="1"/>
  <c r="GH102" i="13" s="1"/>
  <c r="FZ102" i="13" a="1"/>
  <c r="FZ102" i="13" s="1"/>
  <c r="GP102" i="13" a="1"/>
  <c r="GP102" i="13" s="1"/>
  <c r="FR102" i="13" a="1"/>
  <c r="FR102" i="13" s="1"/>
  <c r="FJ102" i="13" a="1"/>
  <c r="FJ102" i="13" s="1"/>
  <c r="GX102" i="13" a="1"/>
  <c r="GX102" i="13" s="1"/>
  <c r="ET102" i="13" a="1"/>
  <c r="ET102" i="13" s="1"/>
  <c r="FB102" i="13" a="1"/>
  <c r="FB102" i="13" s="1"/>
  <c r="EL102" i="13" a="1"/>
  <c r="EL102" i="13" s="1"/>
  <c r="ED102" i="13" a="1"/>
  <c r="ED102" i="13" s="1"/>
  <c r="GH94" i="13" a="1"/>
  <c r="GH94" i="13" s="1"/>
  <c r="GP94" i="13" a="1"/>
  <c r="GP94" i="13" s="1"/>
  <c r="GX94" i="13" a="1"/>
  <c r="GX94" i="13" s="1"/>
  <c r="FZ94" i="13" a="1"/>
  <c r="FZ94" i="13" s="1"/>
  <c r="ET94" i="13" a="1"/>
  <c r="ET94" i="13" s="1"/>
  <c r="EL94" i="13" a="1"/>
  <c r="EL94" i="13" s="1"/>
  <c r="FB94" i="13" a="1"/>
  <c r="FB94" i="13" s="1"/>
  <c r="ED94" i="13" a="1"/>
  <c r="ED94" i="13" s="1"/>
  <c r="FJ94" i="13" a="1"/>
  <c r="FJ94" i="13" s="1"/>
  <c r="FR94" i="13" a="1"/>
  <c r="FR94" i="13" s="1"/>
  <c r="GH86" i="13" a="1"/>
  <c r="GH86" i="13" s="1"/>
  <c r="GP86" i="13" a="1"/>
  <c r="GP86" i="13" s="1"/>
  <c r="FR86" i="13" a="1"/>
  <c r="FR86" i="13" s="1"/>
  <c r="GX86" i="13" a="1"/>
  <c r="GX86" i="13" s="1"/>
  <c r="FZ86" i="13" a="1"/>
  <c r="FZ86" i="13" s="1"/>
  <c r="FJ86" i="13" a="1"/>
  <c r="FJ86" i="13" s="1"/>
  <c r="FB86" i="13" a="1"/>
  <c r="FB86" i="13" s="1"/>
  <c r="ET86" i="13" a="1"/>
  <c r="ET86" i="13" s="1"/>
  <c r="ED86" i="13" a="1"/>
  <c r="ED86" i="13" s="1"/>
  <c r="EL86" i="13" a="1"/>
  <c r="EL86" i="13" s="1"/>
  <c r="GH78" i="13" a="1"/>
  <c r="GH78" i="13" s="1"/>
  <c r="GP78" i="13" a="1"/>
  <c r="GP78" i="13" s="1"/>
  <c r="FR78" i="13" a="1"/>
  <c r="FR78" i="13" s="1"/>
  <c r="GX78" i="13" a="1"/>
  <c r="GX78" i="13" s="1"/>
  <c r="FZ78" i="13" a="1"/>
  <c r="FZ78" i="13" s="1"/>
  <c r="FJ78" i="13" a="1"/>
  <c r="FJ78" i="13" s="1"/>
  <c r="ET78" i="13" a="1"/>
  <c r="ET78" i="13" s="1"/>
  <c r="FB78" i="13" a="1"/>
  <c r="FB78" i="13" s="1"/>
  <c r="EL78" i="13" a="1"/>
  <c r="EL78" i="13" s="1"/>
  <c r="ED78" i="13" a="1"/>
  <c r="ED78" i="13" s="1"/>
  <c r="GH70" i="13" a="1"/>
  <c r="GH70" i="13" s="1"/>
  <c r="GP70" i="13" a="1"/>
  <c r="GP70" i="13" s="1"/>
  <c r="GX70" i="13" a="1"/>
  <c r="GX70" i="13" s="1"/>
  <c r="FZ70" i="13" a="1"/>
  <c r="FZ70" i="13" s="1"/>
  <c r="FR70" i="13" a="1"/>
  <c r="FR70" i="13" s="1"/>
  <c r="ED70" i="13" a="1"/>
  <c r="ED70" i="13" s="1"/>
  <c r="FB70" i="13" a="1"/>
  <c r="FB70" i="13" s="1"/>
  <c r="ET70" i="13" a="1"/>
  <c r="ET70" i="13" s="1"/>
  <c r="EL70" i="13" a="1"/>
  <c r="EL70" i="13" s="1"/>
  <c r="FJ70" i="13" a="1"/>
  <c r="FJ70" i="13" s="1"/>
  <c r="GH62" i="13" a="1"/>
  <c r="GH62" i="13" s="1"/>
  <c r="GP62" i="13" a="1"/>
  <c r="GP62" i="13" s="1"/>
  <c r="GX62" i="13" a="1"/>
  <c r="GX62" i="13" s="1"/>
  <c r="FJ62" i="13" a="1"/>
  <c r="FJ62" i="13" s="1"/>
  <c r="FZ62" i="13" a="1"/>
  <c r="FZ62" i="13" s="1"/>
  <c r="FR62" i="13" a="1"/>
  <c r="FR62" i="13" s="1"/>
  <c r="FB62" i="13" a="1"/>
  <c r="FB62" i="13" s="1"/>
  <c r="ED62" i="13" a="1"/>
  <c r="ED62" i="13" s="1"/>
  <c r="ET62" i="13" a="1"/>
  <c r="ET62" i="13" s="1"/>
  <c r="EL62" i="13" a="1"/>
  <c r="EL62" i="13" s="1"/>
  <c r="GH54" i="13" a="1"/>
  <c r="GH54" i="13" s="1"/>
  <c r="GP54" i="13" a="1"/>
  <c r="GP54" i="13" s="1"/>
  <c r="GX54" i="13" a="1"/>
  <c r="GX54" i="13" s="1"/>
  <c r="FJ54" i="13" a="1"/>
  <c r="FJ54" i="13" s="1"/>
  <c r="FZ54" i="13" a="1"/>
  <c r="FZ54" i="13" s="1"/>
  <c r="FR54" i="13" a="1"/>
  <c r="FR54" i="13" s="1"/>
  <c r="FB54" i="13" a="1"/>
  <c r="FB54" i="13" s="1"/>
  <c r="ED54" i="13" a="1"/>
  <c r="ED54" i="13" s="1"/>
  <c r="ET54" i="13" a="1"/>
  <c r="ET54" i="13" s="1"/>
  <c r="EL54" i="13" a="1"/>
  <c r="EL54" i="13" s="1"/>
  <c r="FR46" i="13" a="1"/>
  <c r="FR46" i="13" s="1"/>
  <c r="GH46" i="13" a="1"/>
  <c r="GH46" i="13" s="1"/>
  <c r="GP46" i="13" a="1"/>
  <c r="GP46" i="13" s="1"/>
  <c r="GX46" i="13" a="1"/>
  <c r="GX46" i="13" s="1"/>
  <c r="FZ46" i="13" a="1"/>
  <c r="FZ46" i="13" s="1"/>
  <c r="FJ46" i="13" a="1"/>
  <c r="FJ46" i="13" s="1"/>
  <c r="ED46" i="13" a="1"/>
  <c r="ED46" i="13" s="1"/>
  <c r="FB46" i="13" a="1"/>
  <c r="FB46" i="13" s="1"/>
  <c r="ET46" i="13" a="1"/>
  <c r="ET46" i="13" s="1"/>
  <c r="EL46" i="13" a="1"/>
  <c r="EL46" i="13" s="1"/>
  <c r="GX35" i="13" a="1"/>
  <c r="GX35" i="13" s="1"/>
  <c r="FR35" i="13" a="1"/>
  <c r="FR35" i="13" s="1"/>
  <c r="GP35" i="13" a="1"/>
  <c r="GP35" i="13" s="1"/>
  <c r="FZ35" i="13" a="1"/>
  <c r="FZ35" i="13" s="1"/>
  <c r="GH35" i="13" a="1"/>
  <c r="GH35" i="13" s="1"/>
  <c r="ED35" i="13" a="1"/>
  <c r="ED35" i="13" s="1"/>
  <c r="EL35" i="13" a="1"/>
  <c r="EL35" i="13" s="1"/>
  <c r="FJ35" i="13" a="1"/>
  <c r="FJ35" i="13" s="1"/>
  <c r="ET35" i="13" a="1"/>
  <c r="ET35" i="13" s="1"/>
  <c r="FB35" i="13" a="1"/>
  <c r="FB35" i="13" s="1"/>
  <c r="GH133" i="13" a="1"/>
  <c r="GH133" i="13" s="1"/>
  <c r="GX133" i="13" a="1"/>
  <c r="GX133" i="13" s="1"/>
  <c r="GP133" i="13" a="1"/>
  <c r="GP133" i="13" s="1"/>
  <c r="FZ133" i="13" a="1"/>
  <c r="FZ133" i="13" s="1"/>
  <c r="FJ133" i="13" a="1"/>
  <c r="FJ133" i="13" s="1"/>
  <c r="EL133" i="13" a="1"/>
  <c r="EL133" i="13" s="1"/>
  <c r="FR133" i="13" a="1"/>
  <c r="FR133" i="13" s="1"/>
  <c r="ED133" i="13" a="1"/>
  <c r="ED133" i="13" s="1"/>
  <c r="ET133" i="13" a="1"/>
  <c r="ET133" i="13" s="1"/>
  <c r="FB133" i="13" a="1"/>
  <c r="FB133" i="13" s="1"/>
  <c r="GH125" i="13" a="1"/>
  <c r="GH125" i="13" s="1"/>
  <c r="GX125" i="13" a="1"/>
  <c r="GX125" i="13" s="1"/>
  <c r="GP125" i="13" a="1"/>
  <c r="GP125" i="13" s="1"/>
  <c r="FR125" i="13" a="1"/>
  <c r="FR125" i="13" s="1"/>
  <c r="FZ125" i="13" a="1"/>
  <c r="FZ125" i="13" s="1"/>
  <c r="ET125" i="13" a="1"/>
  <c r="ET125" i="13" s="1"/>
  <c r="FB125" i="13" a="1"/>
  <c r="FB125" i="13" s="1"/>
  <c r="ED125" i="13" a="1"/>
  <c r="ED125" i="13" s="1"/>
  <c r="EL125" i="13" a="1"/>
  <c r="EL125" i="13" s="1"/>
  <c r="FJ125" i="13" a="1"/>
  <c r="FJ125" i="13" s="1"/>
  <c r="GH117" i="13" a="1"/>
  <c r="GH117" i="13" s="1"/>
  <c r="FZ117" i="13" a="1"/>
  <c r="FZ117" i="13" s="1"/>
  <c r="FR117" i="13" a="1"/>
  <c r="FR117" i="13" s="1"/>
  <c r="GX117" i="13" a="1"/>
  <c r="GX117" i="13" s="1"/>
  <c r="GP117" i="13" a="1"/>
  <c r="GP117" i="13" s="1"/>
  <c r="FJ117" i="13" a="1"/>
  <c r="FJ117" i="13" s="1"/>
  <c r="ET117" i="13" a="1"/>
  <c r="ET117" i="13" s="1"/>
  <c r="ED117" i="13" a="1"/>
  <c r="ED117" i="13" s="1"/>
  <c r="EL117" i="13" a="1"/>
  <c r="EL117" i="13" s="1"/>
  <c r="FB117" i="13" a="1"/>
  <c r="FB117" i="13" s="1"/>
  <c r="GH109" i="13" a="1"/>
  <c r="GH109" i="13" s="1"/>
  <c r="FZ109" i="13" a="1"/>
  <c r="FZ109" i="13" s="1"/>
  <c r="GP109" i="13" a="1"/>
  <c r="GP109" i="13" s="1"/>
  <c r="FR109" i="13" a="1"/>
  <c r="FR109" i="13" s="1"/>
  <c r="GX109" i="13" a="1"/>
  <c r="GX109" i="13" s="1"/>
  <c r="FJ109" i="13" a="1"/>
  <c r="FJ109" i="13" s="1"/>
  <c r="ET109" i="13" a="1"/>
  <c r="ET109" i="13" s="1"/>
  <c r="FB109" i="13" a="1"/>
  <c r="FB109" i="13" s="1"/>
  <c r="ED109" i="13" a="1"/>
  <c r="ED109" i="13" s="1"/>
  <c r="EL109" i="13" a="1"/>
  <c r="EL109" i="13" s="1"/>
  <c r="GH101" i="13" a="1"/>
  <c r="GH101" i="13" s="1"/>
  <c r="FZ101" i="13" a="1"/>
  <c r="FZ101" i="13" s="1"/>
  <c r="GP101" i="13" a="1"/>
  <c r="GP101" i="13" s="1"/>
  <c r="FR101" i="13" a="1"/>
  <c r="FR101" i="13" s="1"/>
  <c r="GX101" i="13" a="1"/>
  <c r="GX101" i="13" s="1"/>
  <c r="ET101" i="13" a="1"/>
  <c r="ET101" i="13" s="1"/>
  <c r="FB101" i="13" a="1"/>
  <c r="FB101" i="13" s="1"/>
  <c r="FJ101" i="13" a="1"/>
  <c r="FJ101" i="13" s="1"/>
  <c r="EL101" i="13" a="1"/>
  <c r="EL101" i="13" s="1"/>
  <c r="ED101" i="13" a="1"/>
  <c r="ED101" i="13" s="1"/>
  <c r="GH93" i="13" a="1"/>
  <c r="GH93" i="13" s="1"/>
  <c r="GP93" i="13" a="1"/>
  <c r="GP93" i="13" s="1"/>
  <c r="GX93" i="13" a="1"/>
  <c r="GX93" i="13" s="1"/>
  <c r="FB93" i="13" a="1"/>
  <c r="FB93" i="13" s="1"/>
  <c r="FJ93" i="13" a="1"/>
  <c r="FJ93" i="13" s="1"/>
  <c r="FR93" i="13" a="1"/>
  <c r="FR93" i="13" s="1"/>
  <c r="ED93" i="13" a="1"/>
  <c r="ED93" i="13" s="1"/>
  <c r="ET93" i="13" a="1"/>
  <c r="ET93" i="13" s="1"/>
  <c r="FZ93" i="13" a="1"/>
  <c r="FZ93" i="13" s="1"/>
  <c r="EL93" i="13" a="1"/>
  <c r="EL93" i="13" s="1"/>
  <c r="GH85" i="13" a="1"/>
  <c r="GH85" i="13" s="1"/>
  <c r="GP85" i="13" a="1"/>
  <c r="GP85" i="13" s="1"/>
  <c r="FR85" i="13" a="1"/>
  <c r="FR85" i="13" s="1"/>
  <c r="FB85" i="13" a="1"/>
  <c r="FB85" i="13" s="1"/>
  <c r="GX85" i="13" a="1"/>
  <c r="GX85" i="13" s="1"/>
  <c r="FZ85" i="13" a="1"/>
  <c r="FZ85" i="13" s="1"/>
  <c r="FJ85" i="13" a="1"/>
  <c r="FJ85" i="13" s="1"/>
  <c r="EL85" i="13" a="1"/>
  <c r="EL85" i="13" s="1"/>
  <c r="ET85" i="13" a="1"/>
  <c r="ET85" i="13" s="1"/>
  <c r="ED85" i="13" a="1"/>
  <c r="ED85" i="13" s="1"/>
  <c r="GH77" i="13" a="1"/>
  <c r="GH77" i="13" s="1"/>
  <c r="GP77" i="13" a="1"/>
  <c r="GP77" i="13" s="1"/>
  <c r="FR77" i="13" a="1"/>
  <c r="FR77" i="13" s="1"/>
  <c r="FB77" i="13" a="1"/>
  <c r="FB77" i="13" s="1"/>
  <c r="GX77" i="13" a="1"/>
  <c r="GX77" i="13" s="1"/>
  <c r="FZ77" i="13" a="1"/>
  <c r="FZ77" i="13" s="1"/>
  <c r="FJ77" i="13" a="1"/>
  <c r="FJ77" i="13" s="1"/>
  <c r="ED77" i="13" a="1"/>
  <c r="ED77" i="13" s="1"/>
  <c r="ET77" i="13" a="1"/>
  <c r="ET77" i="13" s="1"/>
  <c r="EL77" i="13" a="1"/>
  <c r="EL77" i="13" s="1"/>
  <c r="GH69" i="13" a="1"/>
  <c r="GH69" i="13" s="1"/>
  <c r="GP69" i="13" a="1"/>
  <c r="GP69" i="13" s="1"/>
  <c r="GX69" i="13" a="1"/>
  <c r="GX69" i="13" s="1"/>
  <c r="FJ69" i="13" a="1"/>
  <c r="FJ69" i="13" s="1"/>
  <c r="EL69" i="13" a="1"/>
  <c r="EL69" i="13" s="1"/>
  <c r="ET69" i="13" a="1"/>
  <c r="ET69" i="13" s="1"/>
  <c r="ED69" i="13" a="1"/>
  <c r="ED69" i="13" s="1"/>
  <c r="FZ69" i="13" a="1"/>
  <c r="FZ69" i="13" s="1"/>
  <c r="FB69" i="13" a="1"/>
  <c r="FB69" i="13" s="1"/>
  <c r="FR69" i="13" a="1"/>
  <c r="FR69" i="13" s="1"/>
  <c r="GH61" i="13" a="1"/>
  <c r="GH61" i="13" s="1"/>
  <c r="GP61" i="13" a="1"/>
  <c r="GP61" i="13" s="1"/>
  <c r="GX61" i="13" a="1"/>
  <c r="GX61" i="13" s="1"/>
  <c r="FJ61" i="13" a="1"/>
  <c r="FJ61" i="13" s="1"/>
  <c r="FZ61" i="13" a="1"/>
  <c r="FZ61" i="13" s="1"/>
  <c r="FR61" i="13" a="1"/>
  <c r="FR61" i="13" s="1"/>
  <c r="EL61" i="13" a="1"/>
  <c r="EL61" i="13" s="1"/>
  <c r="FB61" i="13" a="1"/>
  <c r="FB61" i="13" s="1"/>
  <c r="ED61" i="13" a="1"/>
  <c r="ED61" i="13" s="1"/>
  <c r="ET61" i="13" a="1"/>
  <c r="ET61" i="13" s="1"/>
  <c r="GH53" i="13" a="1"/>
  <c r="GH53" i="13" s="1"/>
  <c r="GP53" i="13" a="1"/>
  <c r="GP53" i="13" s="1"/>
  <c r="GX53" i="13" a="1"/>
  <c r="GX53" i="13" s="1"/>
  <c r="FZ53" i="13" a="1"/>
  <c r="FZ53" i="13" s="1"/>
  <c r="FR53" i="13" a="1"/>
  <c r="FR53" i="13" s="1"/>
  <c r="FB53" i="13" a="1"/>
  <c r="FB53" i="13" s="1"/>
  <c r="ED53" i="13" a="1"/>
  <c r="ED53" i="13" s="1"/>
  <c r="ET53" i="13" a="1"/>
  <c r="ET53" i="13" s="1"/>
  <c r="FJ53" i="13" a="1"/>
  <c r="FJ53" i="13" s="1"/>
  <c r="EL53" i="13" a="1"/>
  <c r="EL53" i="13" s="1"/>
  <c r="GH45" i="13" a="1"/>
  <c r="GH45" i="13" s="1"/>
  <c r="GP45" i="13" a="1"/>
  <c r="GP45" i="13" s="1"/>
  <c r="GX45" i="13" a="1"/>
  <c r="GX45" i="13" s="1"/>
  <c r="FZ45" i="13" a="1"/>
  <c r="FZ45" i="13" s="1"/>
  <c r="FR45" i="13" a="1"/>
  <c r="FR45" i="13" s="1"/>
  <c r="ET45" i="13" a="1"/>
  <c r="ET45" i="13" s="1"/>
  <c r="ED45" i="13" a="1"/>
  <c r="ED45" i="13" s="1"/>
  <c r="FB45" i="13" a="1"/>
  <c r="FB45" i="13" s="1"/>
  <c r="FJ45" i="13" a="1"/>
  <c r="FJ45" i="13" s="1"/>
  <c r="EL45" i="13" a="1"/>
  <c r="EL45" i="13" s="1"/>
  <c r="FR34" i="13" a="1"/>
  <c r="FR34" i="13" s="1"/>
  <c r="FZ34" i="13" a="1"/>
  <c r="FZ34" i="13" s="1"/>
  <c r="FJ34" i="13" a="1"/>
  <c r="FJ34" i="13" s="1"/>
  <c r="GH34" i="13" a="1"/>
  <c r="GH34" i="13" s="1"/>
  <c r="GX34" i="13" a="1"/>
  <c r="GX34" i="13" s="1"/>
  <c r="GP34" i="13" a="1"/>
  <c r="GP34" i="13" s="1"/>
  <c r="ET34" i="13" a="1"/>
  <c r="ET34" i="13" s="1"/>
  <c r="EL34" i="13" a="1"/>
  <c r="EL34" i="13" s="1"/>
  <c r="FB34" i="13" a="1"/>
  <c r="FB34" i="13" s="1"/>
  <c r="ED34" i="13" a="1"/>
  <c r="ED34" i="13" s="1"/>
  <c r="FJ132" i="13" a="1"/>
  <c r="FJ132" i="13" s="1"/>
  <c r="GX132" i="13" a="1"/>
  <c r="GX132" i="13" s="1"/>
  <c r="GP132" i="13" a="1"/>
  <c r="GP132" i="13" s="1"/>
  <c r="FR132" i="13" a="1"/>
  <c r="FR132" i="13" s="1"/>
  <c r="FB132" i="13" a="1"/>
  <c r="FB132" i="13" s="1"/>
  <c r="GH132" i="13" a="1"/>
  <c r="GH132" i="13" s="1"/>
  <c r="FZ132" i="13" a="1"/>
  <c r="FZ132" i="13" s="1"/>
  <c r="EL132" i="13" a="1"/>
  <c r="EL132" i="13" s="1"/>
  <c r="ET132" i="13" a="1"/>
  <c r="ET132" i="13" s="1"/>
  <c r="ED132" i="13" a="1"/>
  <c r="ED132" i="13" s="1"/>
  <c r="GX124" i="13" a="1"/>
  <c r="GX124" i="13" s="1"/>
  <c r="GP124" i="13" a="1"/>
  <c r="GP124" i="13" s="1"/>
  <c r="FJ124" i="13" a="1"/>
  <c r="FJ124" i="13" s="1"/>
  <c r="GH124" i="13" a="1"/>
  <c r="GH124" i="13" s="1"/>
  <c r="FZ124" i="13" a="1"/>
  <c r="FZ124" i="13" s="1"/>
  <c r="FR124" i="13" a="1"/>
  <c r="FR124" i="13" s="1"/>
  <c r="ET124" i="13" a="1"/>
  <c r="ET124" i="13" s="1"/>
  <c r="FB124" i="13" a="1"/>
  <c r="FB124" i="13" s="1"/>
  <c r="ED124" i="13" a="1"/>
  <c r="ED124" i="13" s="1"/>
  <c r="EL124" i="13" a="1"/>
  <c r="EL124" i="13" s="1"/>
  <c r="GX116" i="13" a="1"/>
  <c r="GX116" i="13" s="1"/>
  <c r="GP116" i="13" a="1"/>
  <c r="GP116" i="13" s="1"/>
  <c r="FJ116" i="13" a="1"/>
  <c r="FJ116" i="13" s="1"/>
  <c r="FR116" i="13" a="1"/>
  <c r="FR116" i="13" s="1"/>
  <c r="GH116" i="13" a="1"/>
  <c r="GH116" i="13" s="1"/>
  <c r="FB116" i="13" a="1"/>
  <c r="FB116" i="13" s="1"/>
  <c r="FZ116" i="13" a="1"/>
  <c r="FZ116" i="13" s="1"/>
  <c r="ET116" i="13" a="1"/>
  <c r="ET116" i="13" s="1"/>
  <c r="EL116" i="13" a="1"/>
  <c r="EL116" i="13" s="1"/>
  <c r="ED116" i="13" a="1"/>
  <c r="ED116" i="13" s="1"/>
  <c r="GP108" i="13" a="1"/>
  <c r="GP108" i="13" s="1"/>
  <c r="FR108" i="13" a="1"/>
  <c r="FR108" i="13" s="1"/>
  <c r="GX108" i="13" a="1"/>
  <c r="GX108" i="13" s="1"/>
  <c r="GH108" i="13" a="1"/>
  <c r="GH108" i="13" s="1"/>
  <c r="FZ108" i="13" a="1"/>
  <c r="FZ108" i="13" s="1"/>
  <c r="FJ108" i="13" a="1"/>
  <c r="FJ108" i="13" s="1"/>
  <c r="ET108" i="13" a="1"/>
  <c r="ET108" i="13" s="1"/>
  <c r="FB108" i="13" a="1"/>
  <c r="FB108" i="13" s="1"/>
  <c r="EL108" i="13" a="1"/>
  <c r="EL108" i="13" s="1"/>
  <c r="ED108" i="13" a="1"/>
  <c r="ED108" i="13" s="1"/>
  <c r="GP100" i="13" a="1"/>
  <c r="GP100" i="13" s="1"/>
  <c r="FR100" i="13" a="1"/>
  <c r="FR100" i="13" s="1"/>
  <c r="GX100" i="13" a="1"/>
  <c r="GX100" i="13" s="1"/>
  <c r="FJ100" i="13" a="1"/>
  <c r="FJ100" i="13" s="1"/>
  <c r="FZ100" i="13" a="1"/>
  <c r="FZ100" i="13" s="1"/>
  <c r="GH100" i="13" a="1"/>
  <c r="GH100" i="13" s="1"/>
  <c r="ET100" i="13" a="1"/>
  <c r="ET100" i="13" s="1"/>
  <c r="EL100" i="13" a="1"/>
  <c r="EL100" i="13" s="1"/>
  <c r="FB100" i="13" a="1"/>
  <c r="FB100" i="13" s="1"/>
  <c r="ED100" i="13" a="1"/>
  <c r="ED100" i="13" s="1"/>
  <c r="GP92" i="13" a="1"/>
  <c r="GP92" i="13" s="1"/>
  <c r="GX92" i="13" a="1"/>
  <c r="GX92" i="13" s="1"/>
  <c r="FZ92" i="13" a="1"/>
  <c r="FZ92" i="13" s="1"/>
  <c r="GH92" i="13" a="1"/>
  <c r="GH92" i="13" s="1"/>
  <c r="ET92" i="13" a="1"/>
  <c r="ET92" i="13" s="1"/>
  <c r="FR92" i="13" a="1"/>
  <c r="FR92" i="13" s="1"/>
  <c r="FB92" i="13" a="1"/>
  <c r="FB92" i="13" s="1"/>
  <c r="FJ92" i="13" a="1"/>
  <c r="FJ92" i="13" s="1"/>
  <c r="EL92" i="13" a="1"/>
  <c r="EL92" i="13" s="1"/>
  <c r="ED92" i="13" a="1"/>
  <c r="ED92" i="13" s="1"/>
  <c r="GP84" i="13" a="1"/>
  <c r="GP84" i="13" s="1"/>
  <c r="FR84" i="13" a="1"/>
  <c r="FR84" i="13" s="1"/>
  <c r="FB84" i="13" a="1"/>
  <c r="FB84" i="13" s="1"/>
  <c r="GX84" i="13" a="1"/>
  <c r="GX84" i="13" s="1"/>
  <c r="FZ84" i="13" a="1"/>
  <c r="FZ84" i="13" s="1"/>
  <c r="FJ84" i="13" a="1"/>
  <c r="FJ84" i="13" s="1"/>
  <c r="GH84" i="13" a="1"/>
  <c r="GH84" i="13" s="1"/>
  <c r="ED84" i="13" a="1"/>
  <c r="ED84" i="13" s="1"/>
  <c r="ET84" i="13" a="1"/>
  <c r="ET84" i="13" s="1"/>
  <c r="EL84" i="13" a="1"/>
  <c r="EL84" i="13" s="1"/>
  <c r="GP76" i="13" a="1"/>
  <c r="GP76" i="13" s="1"/>
  <c r="FR76" i="13" a="1"/>
  <c r="FR76" i="13" s="1"/>
  <c r="GX76" i="13" a="1"/>
  <c r="GX76" i="13" s="1"/>
  <c r="FZ76" i="13" a="1"/>
  <c r="FZ76" i="13" s="1"/>
  <c r="GH76" i="13" a="1"/>
  <c r="GH76" i="13" s="1"/>
  <c r="ET76" i="13" a="1"/>
  <c r="ET76" i="13" s="1"/>
  <c r="FJ76" i="13" a="1"/>
  <c r="FJ76" i="13" s="1"/>
  <c r="FB76" i="13" a="1"/>
  <c r="FB76" i="13" s="1"/>
  <c r="ED76" i="13" a="1"/>
  <c r="ED76" i="13" s="1"/>
  <c r="EL76" i="13" a="1"/>
  <c r="EL76" i="13" s="1"/>
  <c r="GP68" i="13" a="1"/>
  <c r="GP68" i="13" s="1"/>
  <c r="GX68" i="13" a="1"/>
  <c r="GX68" i="13" s="1"/>
  <c r="FR68" i="13" a="1"/>
  <c r="FR68" i="13" s="1"/>
  <c r="FZ68" i="13" a="1"/>
  <c r="FZ68" i="13" s="1"/>
  <c r="GH68" i="13" a="1"/>
  <c r="GH68" i="13" s="1"/>
  <c r="ET68" i="13" a="1"/>
  <c r="ET68" i="13" s="1"/>
  <c r="EL68" i="13" a="1"/>
  <c r="EL68" i="13" s="1"/>
  <c r="FB68" i="13" a="1"/>
  <c r="FB68" i="13" s="1"/>
  <c r="FJ68" i="13" a="1"/>
  <c r="FJ68" i="13" s="1"/>
  <c r="ED68" i="13" a="1"/>
  <c r="ED68" i="13" s="1"/>
  <c r="GP60" i="13" a="1"/>
  <c r="GP60" i="13" s="1"/>
  <c r="GX60" i="13" a="1"/>
  <c r="GX60" i="13" s="1"/>
  <c r="FJ60" i="13" a="1"/>
  <c r="FJ60" i="13" s="1"/>
  <c r="FB60" i="13" a="1"/>
  <c r="FB60" i="13" s="1"/>
  <c r="FZ60" i="13" a="1"/>
  <c r="FZ60" i="13" s="1"/>
  <c r="FR60" i="13" a="1"/>
  <c r="FR60" i="13" s="1"/>
  <c r="GH60" i="13" a="1"/>
  <c r="GH60" i="13" s="1"/>
  <c r="EL60" i="13" a="1"/>
  <c r="EL60" i="13" s="1"/>
  <c r="ED60" i="13" a="1"/>
  <c r="ED60" i="13" s="1"/>
  <c r="ET60" i="13" a="1"/>
  <c r="ET60" i="13" s="1"/>
  <c r="GP52" i="13" a="1"/>
  <c r="GP52" i="13" s="1"/>
  <c r="GX52" i="13" a="1"/>
  <c r="GX52" i="13" s="1"/>
  <c r="FJ52" i="13" a="1"/>
  <c r="FJ52" i="13" s="1"/>
  <c r="FZ52" i="13" a="1"/>
  <c r="FZ52" i="13" s="1"/>
  <c r="FB52" i="13" a="1"/>
  <c r="FB52" i="13" s="1"/>
  <c r="GH52" i="13" a="1"/>
  <c r="GH52" i="13" s="1"/>
  <c r="ET52" i="13" a="1"/>
  <c r="ET52" i="13" s="1"/>
  <c r="FR52" i="13" a="1"/>
  <c r="FR52" i="13" s="1"/>
  <c r="EL52" i="13" a="1"/>
  <c r="EL52" i="13" s="1"/>
  <c r="ED52" i="13" a="1"/>
  <c r="ED52" i="13" s="1"/>
  <c r="GP44" i="13" a="1"/>
  <c r="GP44" i="13" s="1"/>
  <c r="GX44" i="13" a="1"/>
  <c r="GX44" i="13" s="1"/>
  <c r="GH44" i="13" a="1"/>
  <c r="GH44" i="13" s="1"/>
  <c r="FZ44" i="13" a="1"/>
  <c r="FZ44" i="13" s="1"/>
  <c r="FR44" i="13" a="1"/>
  <c r="FR44" i="13" s="1"/>
  <c r="ET44" i="13" a="1"/>
  <c r="ET44" i="13" s="1"/>
  <c r="FJ44" i="13" a="1"/>
  <c r="FJ44" i="13" s="1"/>
  <c r="ED44" i="13" a="1"/>
  <c r="ED44" i="13" s="1"/>
  <c r="FB44" i="13" a="1"/>
  <c r="FB44" i="13" s="1"/>
  <c r="EL44" i="13" a="1"/>
  <c r="EL44" i="13" s="1"/>
  <c r="FR33" i="13" a="1"/>
  <c r="FR33" i="13" s="1"/>
  <c r="FZ33" i="13" a="1"/>
  <c r="FZ33" i="13" s="1"/>
  <c r="FJ33" i="13" a="1"/>
  <c r="FJ33" i="13" s="1"/>
  <c r="GH33" i="13" a="1"/>
  <c r="GH33" i="13" s="1"/>
  <c r="GP33" i="13" a="1"/>
  <c r="GP33" i="13" s="1"/>
  <c r="GX33" i="13" a="1"/>
  <c r="GX33" i="13" s="1"/>
  <c r="ET33" i="13" a="1"/>
  <c r="ET33" i="13" s="1"/>
  <c r="EL33" i="13" a="1"/>
  <c r="EL33" i="13" s="1"/>
  <c r="ED33" i="13" a="1"/>
  <c r="ED33" i="13" s="1"/>
  <c r="FB33" i="13" a="1"/>
  <c r="FB33" i="13" s="1"/>
  <c r="GX131" i="13" a="1"/>
  <c r="GX131" i="13" s="1"/>
  <c r="GP131" i="13" a="1"/>
  <c r="GP131" i="13" s="1"/>
  <c r="FR131" i="13" a="1"/>
  <c r="FR131" i="13" s="1"/>
  <c r="FZ131" i="13" a="1"/>
  <c r="FZ131" i="13" s="1"/>
  <c r="GH131" i="13" a="1"/>
  <c r="GH131" i="13" s="1"/>
  <c r="FJ131" i="13" a="1"/>
  <c r="FJ131" i="13" s="1"/>
  <c r="EL131" i="13" a="1"/>
  <c r="EL131" i="13" s="1"/>
  <c r="FB131" i="13" a="1"/>
  <c r="FB131" i="13" s="1"/>
  <c r="ED131" i="13" a="1"/>
  <c r="ED131" i="13" s="1"/>
  <c r="ET131" i="13" a="1"/>
  <c r="ET131" i="13" s="1"/>
  <c r="GX123" i="13" a="1"/>
  <c r="GX123" i="13" s="1"/>
  <c r="GP123" i="13" a="1"/>
  <c r="GP123" i="13" s="1"/>
  <c r="FJ123" i="13" a="1"/>
  <c r="FJ123" i="13" s="1"/>
  <c r="FZ123" i="13" a="1"/>
  <c r="FZ123" i="13" s="1"/>
  <c r="GH123" i="13" a="1"/>
  <c r="GH123" i="13" s="1"/>
  <c r="FR123" i="13" a="1"/>
  <c r="FR123" i="13" s="1"/>
  <c r="ET123" i="13" a="1"/>
  <c r="ET123" i="13" s="1"/>
  <c r="ED123" i="13" a="1"/>
  <c r="ED123" i="13" s="1"/>
  <c r="EL123" i="13" a="1"/>
  <c r="EL123" i="13" s="1"/>
  <c r="FB123" i="13" a="1"/>
  <c r="FB123" i="13" s="1"/>
  <c r="GX115" i="13" a="1"/>
  <c r="GX115" i="13" s="1"/>
  <c r="GP115" i="13" a="1"/>
  <c r="GP115" i="13" s="1"/>
  <c r="FJ115" i="13" a="1"/>
  <c r="FJ115" i="13" s="1"/>
  <c r="FR115" i="13" a="1"/>
  <c r="FR115" i="13" s="1"/>
  <c r="FB115" i="13" a="1"/>
  <c r="FB115" i="13" s="1"/>
  <c r="GH115" i="13" a="1"/>
  <c r="GH115" i="13" s="1"/>
  <c r="FZ115" i="13" a="1"/>
  <c r="FZ115" i="13" s="1"/>
  <c r="ET115" i="13" a="1"/>
  <c r="ET115" i="13" s="1"/>
  <c r="EL115" i="13" a="1"/>
  <c r="EL115" i="13" s="1"/>
  <c r="ED115" i="13" a="1"/>
  <c r="ED115" i="13" s="1"/>
  <c r="GX107" i="13" a="1"/>
  <c r="GX107" i="13" s="1"/>
  <c r="GP107" i="13" a="1"/>
  <c r="GP107" i="13" s="1"/>
  <c r="FR107" i="13" a="1"/>
  <c r="FR107" i="13" s="1"/>
  <c r="FB107" i="13" a="1"/>
  <c r="FB107" i="13" s="1"/>
  <c r="GH107" i="13" a="1"/>
  <c r="GH107" i="13" s="1"/>
  <c r="FZ107" i="13" a="1"/>
  <c r="FZ107" i="13" s="1"/>
  <c r="FJ107" i="13" a="1"/>
  <c r="FJ107" i="13" s="1"/>
  <c r="ED107" i="13" a="1"/>
  <c r="ED107" i="13" s="1"/>
  <c r="EL107" i="13" a="1"/>
  <c r="EL107" i="13" s="1"/>
  <c r="ET107" i="13" a="1"/>
  <c r="ET107" i="13" s="1"/>
  <c r="GX99" i="13" a="1"/>
  <c r="GX99" i="13" s="1"/>
  <c r="FJ99" i="13" a="1"/>
  <c r="FJ99" i="13" s="1"/>
  <c r="GP99" i="13" a="1"/>
  <c r="GP99" i="13" s="1"/>
  <c r="FZ99" i="13" a="1"/>
  <c r="FZ99" i="13" s="1"/>
  <c r="GH99" i="13" a="1"/>
  <c r="GH99" i="13" s="1"/>
  <c r="ET99" i="13" a="1"/>
  <c r="ET99" i="13" s="1"/>
  <c r="FR99" i="13" a="1"/>
  <c r="FR99" i="13" s="1"/>
  <c r="FB99" i="13" a="1"/>
  <c r="FB99" i="13" s="1"/>
  <c r="EL99" i="13" a="1"/>
  <c r="EL99" i="13" s="1"/>
  <c r="ED99" i="13" a="1"/>
  <c r="ED99" i="13" s="1"/>
  <c r="GX91" i="13" a="1"/>
  <c r="GX91" i="13" s="1"/>
  <c r="FZ91" i="13" a="1"/>
  <c r="FZ91" i="13" s="1"/>
  <c r="GP91" i="13" a="1"/>
  <c r="GP91" i="13" s="1"/>
  <c r="FR91" i="13" a="1"/>
  <c r="FR91" i="13" s="1"/>
  <c r="GH91" i="13" a="1"/>
  <c r="GH91" i="13" s="1"/>
  <c r="FJ91" i="13" a="1"/>
  <c r="FJ91" i="13" s="1"/>
  <c r="ED91" i="13" a="1"/>
  <c r="ED91" i="13" s="1"/>
  <c r="ET91" i="13" a="1"/>
  <c r="ET91" i="13" s="1"/>
  <c r="FB91" i="13" a="1"/>
  <c r="FB91" i="13" s="1"/>
  <c r="EL91" i="13" a="1"/>
  <c r="EL91" i="13" s="1"/>
  <c r="GX83" i="13" a="1"/>
  <c r="GX83" i="13" s="1"/>
  <c r="FZ83" i="13" a="1"/>
  <c r="FZ83" i="13" s="1"/>
  <c r="FJ83" i="13" a="1"/>
  <c r="FJ83" i="13" s="1"/>
  <c r="GP83" i="13" a="1"/>
  <c r="GP83" i="13" s="1"/>
  <c r="ET83" i="13" a="1"/>
  <c r="ET83" i="13" s="1"/>
  <c r="FR83" i="13" a="1"/>
  <c r="FR83" i="13" s="1"/>
  <c r="FB83" i="13" a="1"/>
  <c r="FB83" i="13" s="1"/>
  <c r="GH83" i="13" a="1"/>
  <c r="GH83" i="13" s="1"/>
  <c r="ED83" i="13" a="1"/>
  <c r="ED83" i="13" s="1"/>
  <c r="EL83" i="13" a="1"/>
  <c r="EL83" i="13" s="1"/>
  <c r="GX75" i="13" a="1"/>
  <c r="GX75" i="13" s="1"/>
  <c r="FB75" i="13" a="1"/>
  <c r="FB75" i="13" s="1"/>
  <c r="FZ75" i="13" a="1"/>
  <c r="FZ75" i="13" s="1"/>
  <c r="FJ75" i="13" a="1"/>
  <c r="FJ75" i="13" s="1"/>
  <c r="GP75" i="13" a="1"/>
  <c r="GP75" i="13" s="1"/>
  <c r="ET75" i="13" a="1"/>
  <c r="ET75" i="13" s="1"/>
  <c r="GH75" i="13" a="1"/>
  <c r="GH75" i="13" s="1"/>
  <c r="EL75" i="13" a="1"/>
  <c r="EL75" i="13" s="1"/>
  <c r="FR75" i="13" a="1"/>
  <c r="FR75" i="13" s="1"/>
  <c r="ED75" i="13" a="1"/>
  <c r="ED75" i="13" s="1"/>
  <c r="GX67" i="13" a="1"/>
  <c r="GX67" i="13" s="1"/>
  <c r="FR67" i="13" a="1"/>
  <c r="FR67" i="13" s="1"/>
  <c r="FZ67" i="13" a="1"/>
  <c r="FZ67" i="13" s="1"/>
  <c r="GP67" i="13" a="1"/>
  <c r="GP67" i="13" s="1"/>
  <c r="GH67" i="13" a="1"/>
  <c r="GH67" i="13" s="1"/>
  <c r="EL67" i="13" a="1"/>
  <c r="EL67" i="13" s="1"/>
  <c r="ET67" i="13" a="1"/>
  <c r="ET67" i="13" s="1"/>
  <c r="FB67" i="13" a="1"/>
  <c r="FB67" i="13" s="1"/>
  <c r="ED67" i="13" a="1"/>
  <c r="ED67" i="13" s="1"/>
  <c r="FJ67" i="13" a="1"/>
  <c r="FJ67" i="13" s="1"/>
  <c r="GX59" i="13" a="1"/>
  <c r="GX59" i="13" s="1"/>
  <c r="FJ59" i="13" a="1"/>
  <c r="FJ59" i="13" s="1"/>
  <c r="FB59" i="13" a="1"/>
  <c r="FB59" i="13" s="1"/>
  <c r="FZ59" i="13" a="1"/>
  <c r="FZ59" i="13" s="1"/>
  <c r="FR59" i="13" a="1"/>
  <c r="FR59" i="13" s="1"/>
  <c r="GP59" i="13" a="1"/>
  <c r="GP59" i="13" s="1"/>
  <c r="GH59" i="13" a="1"/>
  <c r="GH59" i="13" s="1"/>
  <c r="EL59" i="13" a="1"/>
  <c r="EL59" i="13" s="1"/>
  <c r="ED59" i="13" a="1"/>
  <c r="ED59" i="13" s="1"/>
  <c r="ET59" i="13" a="1"/>
  <c r="ET59" i="13" s="1"/>
  <c r="GX51" i="13" a="1"/>
  <c r="GX51" i="13" s="1"/>
  <c r="FJ51" i="13" a="1"/>
  <c r="FJ51" i="13" s="1"/>
  <c r="FZ51" i="13" a="1"/>
  <c r="FZ51" i="13" s="1"/>
  <c r="FB51" i="13" a="1"/>
  <c r="FB51" i="13" s="1"/>
  <c r="FR51" i="13" a="1"/>
  <c r="FR51" i="13" s="1"/>
  <c r="GP51" i="13" a="1"/>
  <c r="GP51" i="13" s="1"/>
  <c r="GH51" i="13" a="1"/>
  <c r="GH51" i="13" s="1"/>
  <c r="EL51" i="13" a="1"/>
  <c r="EL51" i="13" s="1"/>
  <c r="ET51" i="13" a="1"/>
  <c r="ET51" i="13" s="1"/>
  <c r="ED51" i="13" a="1"/>
  <c r="ED51" i="13" s="1"/>
  <c r="GX43" i="13" a="1"/>
  <c r="GX43" i="13" s="1"/>
  <c r="GP43" i="13" a="1"/>
  <c r="GP43" i="13" s="1"/>
  <c r="GH43" i="13" a="1"/>
  <c r="GH43" i="13" s="1"/>
  <c r="ED43" i="13" a="1"/>
  <c r="ED43" i="13" s="1"/>
  <c r="ET43" i="13" a="1"/>
  <c r="ET43" i="13" s="1"/>
  <c r="FJ43" i="13" a="1"/>
  <c r="FJ43" i="13" s="1"/>
  <c r="FZ43" i="13" a="1"/>
  <c r="FZ43" i="13" s="1"/>
  <c r="FR43" i="13" a="1"/>
  <c r="FR43" i="13" s="1"/>
  <c r="FB43" i="13" a="1"/>
  <c r="FB43" i="13" s="1"/>
  <c r="EL43" i="13" a="1"/>
  <c r="EL43" i="13" s="1"/>
  <c r="DS10" i="13"/>
  <c r="DQ10" i="13"/>
  <c r="DP10" i="13"/>
  <c r="DU10" i="13"/>
  <c r="DT10" i="13"/>
  <c r="AH129" i="13"/>
  <c r="AH113" i="13"/>
  <c r="AH97" i="13"/>
  <c r="AH73" i="13"/>
  <c r="AH57" i="13"/>
  <c r="AH41" i="13"/>
  <c r="AH38" i="13"/>
  <c r="AH136" i="13"/>
  <c r="AH128" i="13"/>
  <c r="AH120" i="13"/>
  <c r="AH112" i="13"/>
  <c r="AH104" i="13"/>
  <c r="AH96" i="13"/>
  <c r="AH88" i="13"/>
  <c r="AH80" i="13"/>
  <c r="AH72" i="13"/>
  <c r="AH64" i="13"/>
  <c r="AH56" i="13"/>
  <c r="AH48" i="13"/>
  <c r="AH40" i="13"/>
  <c r="AH30" i="13"/>
  <c r="AH121" i="13"/>
  <c r="AH105" i="13"/>
  <c r="AH89" i="13"/>
  <c r="AH81" i="13"/>
  <c r="AH65" i="13"/>
  <c r="AH49" i="13"/>
  <c r="AH28" i="13"/>
  <c r="AH37" i="13"/>
  <c r="AH135" i="13"/>
  <c r="AH127" i="13"/>
  <c r="AH119" i="13"/>
  <c r="AH111" i="13"/>
  <c r="AH103" i="13"/>
  <c r="AH95" i="13"/>
  <c r="AH87" i="13"/>
  <c r="AH79" i="13"/>
  <c r="AH71" i="13"/>
  <c r="AH63" i="13"/>
  <c r="AH55" i="13"/>
  <c r="AH47" i="13"/>
  <c r="AH39" i="13"/>
  <c r="AH27" i="13"/>
  <c r="AH134" i="13"/>
  <c r="AH94" i="13"/>
  <c r="AH62" i="13"/>
  <c r="AH26" i="13"/>
  <c r="AH35" i="13"/>
  <c r="AH133" i="13"/>
  <c r="AH125" i="13"/>
  <c r="AH117" i="13"/>
  <c r="AH109" i="13"/>
  <c r="AH101" i="13"/>
  <c r="AH93" i="13"/>
  <c r="AH85" i="13"/>
  <c r="AH77" i="13"/>
  <c r="AH69" i="13"/>
  <c r="AH61" i="13"/>
  <c r="AH53" i="13"/>
  <c r="AH45" i="13"/>
  <c r="AH137" i="13"/>
  <c r="AH118" i="13"/>
  <c r="AH78" i="13"/>
  <c r="AH46" i="13"/>
  <c r="AH31" i="13"/>
  <c r="AH25" i="13"/>
  <c r="AH34" i="13"/>
  <c r="AH132" i="13"/>
  <c r="AH124" i="13"/>
  <c r="AH116" i="13"/>
  <c r="AH108" i="13"/>
  <c r="AH100" i="13"/>
  <c r="AH92" i="13"/>
  <c r="AH84" i="13"/>
  <c r="AH76" i="13"/>
  <c r="AH68" i="13"/>
  <c r="AH60" i="13"/>
  <c r="AH52" i="13"/>
  <c r="AH44" i="13"/>
  <c r="AH36" i="13"/>
  <c r="AH110" i="13"/>
  <c r="AH86" i="13"/>
  <c r="AH54" i="13"/>
  <c r="AH24" i="13"/>
  <c r="AH33" i="13"/>
  <c r="AH131" i="13"/>
  <c r="AH123" i="13"/>
  <c r="AH115" i="13"/>
  <c r="AH107" i="13"/>
  <c r="AH99" i="13"/>
  <c r="AH91" i="13"/>
  <c r="AH83" i="13"/>
  <c r="AH75" i="13"/>
  <c r="AH67" i="13"/>
  <c r="AH59" i="13"/>
  <c r="AH51" i="13"/>
  <c r="AH43" i="13"/>
  <c r="AH126" i="13"/>
  <c r="AH102" i="13"/>
  <c r="AH70" i="13"/>
  <c r="AH23" i="13"/>
  <c r="AH32" i="13"/>
  <c r="AH130" i="13"/>
  <c r="AH122" i="13"/>
  <c r="AH114" i="13"/>
  <c r="AH106" i="13"/>
  <c r="AH98" i="13"/>
  <c r="AH90" i="13"/>
  <c r="AH82" i="13"/>
  <c r="AH74" i="13"/>
  <c r="AH66" i="13"/>
  <c r="AH58" i="13"/>
  <c r="AH50" i="13"/>
  <c r="AH42" i="13"/>
  <c r="AH29" i="13"/>
  <c r="ED12" i="13" l="1"/>
  <c r="EL12" i="13"/>
  <c r="EL11" i="13" s="1"/>
  <c r="ET12" i="13"/>
  <c r="ET11" i="13" s="1"/>
  <c r="GH12" i="13"/>
  <c r="GH11" i="13" s="1"/>
  <c r="FB12" i="13"/>
  <c r="FB11" i="13" s="1"/>
  <c r="GP12" i="13"/>
  <c r="GP11" i="13" s="1"/>
  <c r="FJ12" i="13"/>
  <c r="FJ11" i="13" s="1"/>
  <c r="FZ12" i="13"/>
  <c r="FZ11" i="13" s="1"/>
  <c r="FR12" i="13"/>
  <c r="FR11" i="13" s="1"/>
  <c r="GX12" i="13"/>
  <c r="GX11" i="13" s="1"/>
  <c r="M18" i="13"/>
  <c r="N5" i="1" l="1"/>
  <c r="AI5" i="1" l="1"/>
  <c r="BY5" i="1"/>
  <c r="BD5" i="1"/>
  <c r="CT5" i="1"/>
  <c r="AH5" i="1" l="1"/>
  <c r="CS5" i="1"/>
  <c r="BC5" i="1"/>
  <c r="BX5" i="1"/>
  <c r="AJ5" i="1"/>
  <c r="BE5" i="1"/>
  <c r="BZ5" i="1"/>
  <c r="CU5" i="1"/>
  <c r="GW19" i="13"/>
  <c r="GU19" i="13"/>
  <c r="GO19" i="13"/>
  <c r="GM19" i="13"/>
  <c r="GG19" i="13"/>
  <c r="GE19" i="13"/>
  <c r="FY19" i="13"/>
  <c r="FW19" i="13"/>
  <c r="FQ19" i="13"/>
  <c r="FO19" i="13"/>
  <c r="FI19" i="13"/>
  <c r="FG19" i="13"/>
  <c r="FA19" i="13"/>
  <c r="EY19" i="13"/>
  <c r="ES19" i="13"/>
  <c r="EQ19" i="13"/>
  <c r="EK19" i="13"/>
  <c r="EI19" i="13"/>
  <c r="EC19" i="13"/>
  <c r="EC10" i="13" s="1"/>
  <c r="AG19" i="13"/>
  <c r="AG20" i="13"/>
  <c r="AG21" i="13"/>
  <c r="AG22" i="13"/>
  <c r="B59" i="2"/>
  <c r="P34" i="1"/>
  <c r="FZ22" i="13" l="1" a="1"/>
  <c r="FZ22" i="13" s="1"/>
  <c r="GH22" i="13" a="1"/>
  <c r="GH22" i="13" s="1"/>
  <c r="FB22" i="13" a="1"/>
  <c r="FB22" i="13" s="1"/>
  <c r="GP22" i="13" a="1"/>
  <c r="GP22" i="13" s="1"/>
  <c r="GX22" i="13" a="1"/>
  <c r="GX22" i="13" s="1"/>
  <c r="FJ22" i="13" a="1"/>
  <c r="FJ22" i="13" s="1"/>
  <c r="ET22" i="13" a="1"/>
  <c r="ET22" i="13" s="1"/>
  <c r="EL22" i="13" a="1"/>
  <c r="EL22" i="13" s="1"/>
  <c r="FR22" i="13" a="1"/>
  <c r="FR22" i="13" s="1"/>
  <c r="ED22" i="13" a="1"/>
  <c r="ED22" i="13" s="1"/>
  <c r="GP19" i="13" a="1"/>
  <c r="GP19" i="13" s="1"/>
  <c r="FZ19" i="13" a="1"/>
  <c r="FZ19" i="13" s="1"/>
  <c r="GX19" i="13" a="1"/>
  <c r="GX19" i="13" s="1"/>
  <c r="ET19" i="13" a="1"/>
  <c r="ET19" i="13" s="1"/>
  <c r="GH19" i="13" a="1"/>
  <c r="GH19" i="13" s="1"/>
  <c r="FB19" i="13" a="1"/>
  <c r="FB19" i="13" s="1"/>
  <c r="FR19" i="13" a="1"/>
  <c r="FR19" i="13" s="1"/>
  <c r="FJ19" i="13" a="1"/>
  <c r="FJ19" i="13" s="1"/>
  <c r="EL19" i="13" a="1"/>
  <c r="EL19" i="13" s="1"/>
  <c r="ED19" i="13" a="1"/>
  <c r="ED19" i="13" s="1"/>
  <c r="GP20" i="13" a="1"/>
  <c r="GP20" i="13" s="1"/>
  <c r="GX20" i="13" a="1"/>
  <c r="GX20" i="13" s="1"/>
  <c r="FJ20" i="13" a="1"/>
  <c r="FJ20" i="13" s="1"/>
  <c r="FR20" i="13" a="1"/>
  <c r="FR20" i="13" s="1"/>
  <c r="GH20" i="13" a="1"/>
  <c r="GH20" i="13" s="1"/>
  <c r="FB20" i="13" a="1"/>
  <c r="FB20" i="13" s="1"/>
  <c r="FZ20" i="13" a="1"/>
  <c r="FZ20" i="13" s="1"/>
  <c r="ET20" i="13" a="1"/>
  <c r="ET20" i="13" s="1"/>
  <c r="EL20" i="13" a="1"/>
  <c r="EL20" i="13" s="1"/>
  <c r="ED20" i="13" a="1"/>
  <c r="ED20" i="13" s="1"/>
  <c r="GH21" i="13" a="1"/>
  <c r="GH21" i="13" s="1"/>
  <c r="FB21" i="13" a="1"/>
  <c r="FB21" i="13" s="1"/>
  <c r="GP21" i="13" a="1"/>
  <c r="GP21" i="13" s="1"/>
  <c r="GX21" i="13" a="1"/>
  <c r="GX21" i="13" s="1"/>
  <c r="FJ21" i="13" a="1"/>
  <c r="FJ21" i="13" s="1"/>
  <c r="EL21" i="13" a="1"/>
  <c r="EL21" i="13" s="1"/>
  <c r="FZ21" i="13" a="1"/>
  <c r="FZ21" i="13" s="1"/>
  <c r="FR21" i="13" a="1"/>
  <c r="FR21" i="13" s="1"/>
  <c r="ET21" i="13" a="1"/>
  <c r="ET21" i="13" s="1"/>
  <c r="ED21" i="13" a="1"/>
  <c r="ED21" i="13" s="1"/>
  <c r="FY15" i="13"/>
  <c r="FY10" i="13"/>
  <c r="GE10" i="13"/>
  <c r="GE15" i="13"/>
  <c r="GG15" i="13"/>
  <c r="GG10" i="13"/>
  <c r="FG10" i="13"/>
  <c r="FG15" i="13"/>
  <c r="GM15" i="13"/>
  <c r="GM10" i="13"/>
  <c r="FI10" i="13"/>
  <c r="FI15" i="13"/>
  <c r="GO15" i="13"/>
  <c r="GO10" i="13"/>
  <c r="ES15" i="13"/>
  <c r="ES10" i="13"/>
  <c r="FA15" i="13"/>
  <c r="FA10" i="13"/>
  <c r="EI15" i="13"/>
  <c r="EI10" i="13"/>
  <c r="FO15" i="13"/>
  <c r="FO10" i="13"/>
  <c r="GU15" i="13"/>
  <c r="GU10" i="13"/>
  <c r="EY15" i="13"/>
  <c r="EY10" i="13"/>
  <c r="EK10" i="13"/>
  <c r="EK15" i="13"/>
  <c r="FQ15" i="13"/>
  <c r="FQ10" i="13"/>
  <c r="GW15" i="13"/>
  <c r="GW10" i="13"/>
  <c r="EQ10" i="13"/>
  <c r="EQ15" i="13"/>
  <c r="FW15" i="13"/>
  <c r="FW10" i="13"/>
  <c r="AH20" i="13"/>
  <c r="AH19" i="13"/>
  <c r="AH21" i="13"/>
  <c r="AH22" i="13"/>
  <c r="C73" i="2"/>
  <c r="DZ22" i="13"/>
  <c r="ED10" i="13" l="1"/>
  <c r="CN20" i="13" s="1"/>
  <c r="FZ10" i="13"/>
  <c r="FZ15" i="13" s="1"/>
  <c r="GH10" i="13"/>
  <c r="GH15" i="13" s="1"/>
  <c r="EL10" i="13"/>
  <c r="FR10" i="13"/>
  <c r="FJ10" i="13"/>
  <c r="GX10" i="13"/>
  <c r="GP10" i="13"/>
  <c r="ET10" i="13"/>
  <c r="FB10" i="13"/>
  <c r="AL25" i="13"/>
  <c r="AL33" i="13"/>
  <c r="AL41" i="13"/>
  <c r="AL49" i="13"/>
  <c r="AL57" i="13"/>
  <c r="AL65" i="13"/>
  <c r="AL73" i="13"/>
  <c r="AL81" i="13"/>
  <c r="AL89" i="13"/>
  <c r="AL97" i="13"/>
  <c r="AL105" i="13"/>
  <c r="AL113" i="13"/>
  <c r="AL121" i="13"/>
  <c r="AL129" i="13"/>
  <c r="AL137" i="13"/>
  <c r="AL20" i="13"/>
  <c r="AL28" i="13"/>
  <c r="AL36" i="13"/>
  <c r="AL44" i="13"/>
  <c r="AL52" i="13"/>
  <c r="AL60" i="13"/>
  <c r="AL68" i="13"/>
  <c r="AL76" i="13"/>
  <c r="AL84" i="13"/>
  <c r="AL92" i="13"/>
  <c r="AL100" i="13"/>
  <c r="AL108" i="13"/>
  <c r="AL116" i="13"/>
  <c r="AL124" i="13"/>
  <c r="AL132" i="13"/>
  <c r="AL23" i="13"/>
  <c r="AL31" i="13"/>
  <c r="AL39" i="13"/>
  <c r="AL47" i="13"/>
  <c r="AL55" i="13"/>
  <c r="AL63" i="13"/>
  <c r="AL71" i="13"/>
  <c r="AL79" i="13"/>
  <c r="AL87" i="13"/>
  <c r="AL95" i="13"/>
  <c r="AL103" i="13"/>
  <c r="AL111" i="13"/>
  <c r="AL119" i="13"/>
  <c r="AL127" i="13"/>
  <c r="AL135" i="13"/>
  <c r="AL26" i="13"/>
  <c r="AL34" i="13"/>
  <c r="AL42" i="13"/>
  <c r="AL50" i="13"/>
  <c r="AL58" i="13"/>
  <c r="AL66" i="13"/>
  <c r="AL74" i="13"/>
  <c r="AL82" i="13"/>
  <c r="AL90" i="13"/>
  <c r="AL98" i="13"/>
  <c r="AL106" i="13"/>
  <c r="AL114" i="13"/>
  <c r="AL122" i="13"/>
  <c r="AL130" i="13"/>
  <c r="AL19" i="13"/>
  <c r="AL21" i="13"/>
  <c r="AL29" i="13"/>
  <c r="AL37" i="13"/>
  <c r="AL45" i="13"/>
  <c r="AL53" i="13"/>
  <c r="AL61" i="13"/>
  <c r="AL69" i="13"/>
  <c r="AL77" i="13"/>
  <c r="AL85" i="13"/>
  <c r="AL93" i="13"/>
  <c r="AL101" i="13"/>
  <c r="AL109" i="13"/>
  <c r="AL117" i="13"/>
  <c r="AL125" i="13"/>
  <c r="AL133" i="13"/>
  <c r="AL24" i="13"/>
  <c r="AL32" i="13"/>
  <c r="AL40" i="13"/>
  <c r="AL48" i="13"/>
  <c r="AL56" i="13"/>
  <c r="AL64" i="13"/>
  <c r="AL72" i="13"/>
  <c r="AL80" i="13"/>
  <c r="AL88" i="13"/>
  <c r="AL96" i="13"/>
  <c r="AL104" i="13"/>
  <c r="AL112" i="13"/>
  <c r="AL120" i="13"/>
  <c r="AL128" i="13"/>
  <c r="AL136" i="13"/>
  <c r="AL27" i="13"/>
  <c r="AL35" i="13"/>
  <c r="AL43" i="13"/>
  <c r="AL51" i="13"/>
  <c r="AL59" i="13"/>
  <c r="AL67" i="13"/>
  <c r="AL75" i="13"/>
  <c r="AL83" i="13"/>
  <c r="AL91" i="13"/>
  <c r="AL99" i="13"/>
  <c r="AL107" i="13"/>
  <c r="AL115" i="13"/>
  <c r="AL123" i="13"/>
  <c r="AL131" i="13"/>
  <c r="AL22" i="13"/>
  <c r="AL30" i="13"/>
  <c r="AL38" i="13"/>
  <c r="AL46" i="13"/>
  <c r="AL54" i="13"/>
  <c r="AL62" i="13"/>
  <c r="AL70" i="13"/>
  <c r="AL78" i="13"/>
  <c r="AL86" i="13"/>
  <c r="AL94" i="13"/>
  <c r="AL102" i="13"/>
  <c r="AL110" i="13"/>
  <c r="AL118" i="13"/>
  <c r="AL126" i="13"/>
  <c r="AL134" i="13"/>
  <c r="CV6" i="1"/>
  <c r="CV7" i="1"/>
  <c r="CV8" i="1"/>
  <c r="CV9" i="1"/>
  <c r="CV10" i="1"/>
  <c r="CV11" i="1"/>
  <c r="CV12" i="1"/>
  <c r="CV13" i="1"/>
  <c r="CV14" i="1"/>
  <c r="CV15" i="1"/>
  <c r="CV16" i="1"/>
  <c r="CV17" i="1"/>
  <c r="CV18" i="1"/>
  <c r="CV19" i="1"/>
  <c r="CV20" i="1"/>
  <c r="CV21" i="1"/>
  <c r="CV22" i="1"/>
  <c r="CV23" i="1"/>
  <c r="CV24" i="1"/>
  <c r="CV25" i="1"/>
  <c r="CV26" i="1"/>
  <c r="CV27" i="1"/>
  <c r="CV28" i="1"/>
  <c r="CV29" i="1"/>
  <c r="CV30" i="1"/>
  <c r="CA6" i="1"/>
  <c r="CA7" i="1"/>
  <c r="CA8" i="1"/>
  <c r="CA9" i="1"/>
  <c r="CA10" i="1"/>
  <c r="CA11" i="1"/>
  <c r="CA12" i="1"/>
  <c r="CA13" i="1"/>
  <c r="CA14" i="1"/>
  <c r="CA15" i="1"/>
  <c r="CA16" i="1"/>
  <c r="CA17" i="1"/>
  <c r="CA18" i="1"/>
  <c r="CA19" i="1"/>
  <c r="CA20" i="1"/>
  <c r="CA21" i="1"/>
  <c r="CA22" i="1"/>
  <c r="CA23" i="1"/>
  <c r="CA24" i="1"/>
  <c r="CA25" i="1"/>
  <c r="CA26" i="1"/>
  <c r="CA27" i="1"/>
  <c r="CA28" i="1"/>
  <c r="CA29" i="1"/>
  <c r="CA30" i="1"/>
  <c r="BF6" i="1"/>
  <c r="BF7" i="1"/>
  <c r="BF8" i="1"/>
  <c r="BF9" i="1"/>
  <c r="BF10" i="1"/>
  <c r="BF11" i="1"/>
  <c r="BF12" i="1"/>
  <c r="BF13" i="1"/>
  <c r="BF14" i="1"/>
  <c r="BF15" i="1"/>
  <c r="BF16" i="1"/>
  <c r="BF17" i="1"/>
  <c r="BF18" i="1"/>
  <c r="BF19" i="1"/>
  <c r="BF20" i="1"/>
  <c r="BF21" i="1"/>
  <c r="BF22" i="1"/>
  <c r="BF23" i="1"/>
  <c r="BF24" i="1"/>
  <c r="BF25" i="1"/>
  <c r="BF26" i="1"/>
  <c r="BF27" i="1"/>
  <c r="BF28" i="1"/>
  <c r="BF29" i="1"/>
  <c r="BF30" i="1"/>
  <c r="AK6" i="1"/>
  <c r="AK7" i="1"/>
  <c r="AK8" i="1"/>
  <c r="AK9" i="1"/>
  <c r="AK10" i="1"/>
  <c r="AK11" i="1"/>
  <c r="AK12" i="1"/>
  <c r="AK13" i="1"/>
  <c r="AK14" i="1"/>
  <c r="AK15" i="1"/>
  <c r="AK16" i="1"/>
  <c r="AK17" i="1"/>
  <c r="AK18" i="1"/>
  <c r="AK19" i="1"/>
  <c r="AK20" i="1"/>
  <c r="AK21" i="1"/>
  <c r="AK22" i="1"/>
  <c r="AK23" i="1"/>
  <c r="AK24" i="1"/>
  <c r="AK25" i="1"/>
  <c r="AK26" i="1"/>
  <c r="AK27" i="1"/>
  <c r="AK28" i="1"/>
  <c r="AK29" i="1"/>
  <c r="AK30" i="1"/>
  <c r="CQ6" i="1"/>
  <c r="CQ7" i="1"/>
  <c r="CQ8" i="1"/>
  <c r="CQ9" i="1"/>
  <c r="CQ10" i="1"/>
  <c r="CQ11" i="1"/>
  <c r="CQ12" i="1"/>
  <c r="CQ13" i="1"/>
  <c r="CQ14" i="1"/>
  <c r="CQ15" i="1"/>
  <c r="CQ16" i="1"/>
  <c r="CQ17" i="1"/>
  <c r="CQ18" i="1"/>
  <c r="CQ19" i="1"/>
  <c r="CQ20" i="1"/>
  <c r="CQ21" i="1"/>
  <c r="CQ22" i="1"/>
  <c r="CQ23" i="1"/>
  <c r="CQ24" i="1"/>
  <c r="CQ25" i="1"/>
  <c r="CQ26" i="1"/>
  <c r="CQ27" i="1"/>
  <c r="CQ28" i="1"/>
  <c r="CQ29" i="1"/>
  <c r="CQ30" i="1"/>
  <c r="BV6" i="1"/>
  <c r="BV7" i="1"/>
  <c r="BV8" i="1"/>
  <c r="BV9" i="1"/>
  <c r="BV10" i="1"/>
  <c r="BV11" i="1"/>
  <c r="BV12" i="1"/>
  <c r="BV13" i="1"/>
  <c r="BV14" i="1"/>
  <c r="BV15" i="1"/>
  <c r="BV16" i="1"/>
  <c r="BV17" i="1"/>
  <c r="BV18" i="1"/>
  <c r="BV19" i="1"/>
  <c r="BV20" i="1"/>
  <c r="BV21" i="1"/>
  <c r="BV22" i="1"/>
  <c r="BV23" i="1"/>
  <c r="BV24" i="1"/>
  <c r="BV25" i="1"/>
  <c r="BV26" i="1"/>
  <c r="BV27" i="1"/>
  <c r="BV28" i="1"/>
  <c r="BV29" i="1"/>
  <c r="BV30" i="1"/>
  <c r="BA6" i="1"/>
  <c r="BA7" i="1"/>
  <c r="BA8" i="1"/>
  <c r="BA9" i="1"/>
  <c r="BA10" i="1"/>
  <c r="BA11" i="1"/>
  <c r="BA12" i="1"/>
  <c r="BA13" i="1"/>
  <c r="BA14" i="1"/>
  <c r="BA15" i="1"/>
  <c r="BA16" i="1"/>
  <c r="BA17" i="1"/>
  <c r="BA18" i="1"/>
  <c r="BA19" i="1"/>
  <c r="BA20" i="1"/>
  <c r="BA21" i="1"/>
  <c r="BA22" i="1"/>
  <c r="BA23" i="1"/>
  <c r="BA24" i="1"/>
  <c r="BA25" i="1"/>
  <c r="BA26" i="1"/>
  <c r="BA27" i="1"/>
  <c r="BA28" i="1"/>
  <c r="BA29" i="1"/>
  <c r="BA30" i="1"/>
  <c r="AF6" i="1"/>
  <c r="AF7" i="1"/>
  <c r="AF8" i="1"/>
  <c r="AF9" i="1"/>
  <c r="AF10" i="1"/>
  <c r="AF11" i="1"/>
  <c r="AF12" i="1"/>
  <c r="AF13" i="1"/>
  <c r="AF14" i="1"/>
  <c r="AF15" i="1"/>
  <c r="AF16" i="1"/>
  <c r="AF17" i="1"/>
  <c r="AF18" i="1"/>
  <c r="AF19" i="1"/>
  <c r="AF20" i="1"/>
  <c r="AF21" i="1"/>
  <c r="AF22" i="1"/>
  <c r="AF23" i="1"/>
  <c r="AF24" i="1"/>
  <c r="AF25" i="1"/>
  <c r="AF26" i="1"/>
  <c r="AF27" i="1"/>
  <c r="AF28" i="1"/>
  <c r="AF29" i="1"/>
  <c r="AF30" i="1"/>
  <c r="P42" i="1"/>
  <c r="P41" i="1"/>
  <c r="P40" i="1"/>
  <c r="P39" i="1"/>
  <c r="GX15" i="13" l="1"/>
  <c r="FB15" i="13"/>
  <c r="FJ15" i="13"/>
  <c r="ET15" i="13"/>
  <c r="FR15" i="13"/>
  <c r="GP15" i="13"/>
  <c r="EL15" i="13"/>
  <c r="C30" i="3" a="1"/>
  <c r="C30" i="3" s="1"/>
  <c r="CV38" i="1"/>
  <c r="CA38" i="1"/>
  <c r="BF38" i="1"/>
  <c r="CV34" i="1"/>
  <c r="CV33" i="1"/>
  <c r="CX5" i="1"/>
  <c r="CX37" i="1" s="1"/>
  <c r="CY5" i="1"/>
  <c r="CY37" i="1" s="1"/>
  <c r="CZ5" i="1"/>
  <c r="CZ37" i="1" s="1"/>
  <c r="CX36" i="1"/>
  <c r="CW37" i="1"/>
  <c r="CA34" i="1"/>
  <c r="CA33" i="1"/>
  <c r="CD27" i="1" s="1"/>
  <c r="BF34" i="1"/>
  <c r="BF33" i="1"/>
  <c r="BI23" i="1" s="1"/>
  <c r="AK33" i="1"/>
  <c r="AK34" i="1"/>
  <c r="BH5" i="1"/>
  <c r="BH37" i="1" s="1"/>
  <c r="BI5" i="1"/>
  <c r="BI37" i="1" s="1"/>
  <c r="BJ5" i="1"/>
  <c r="BJ37" i="1" s="1"/>
  <c r="CC5" i="1"/>
  <c r="CC37" i="1" s="1"/>
  <c r="CD5" i="1"/>
  <c r="CD37" i="1" s="1"/>
  <c r="CE5" i="1"/>
  <c r="CE37" i="1" s="1"/>
  <c r="BH36" i="1"/>
  <c r="CC36" i="1"/>
  <c r="BG37" i="1"/>
  <c r="CB37" i="1"/>
  <c r="BH28" i="1" l="1"/>
  <c r="BJ30" i="1"/>
  <c r="BJ27" i="1"/>
  <c r="BJ23" i="1"/>
  <c r="BJ22" i="1"/>
  <c r="BH25" i="1"/>
  <c r="BI28" i="1"/>
  <c r="BI24" i="1"/>
  <c r="CX30" i="1"/>
  <c r="CX29" i="1"/>
  <c r="CX28" i="1"/>
  <c r="CX27" i="1"/>
  <c r="CX26" i="1"/>
  <c r="CX25" i="1"/>
  <c r="CX24" i="1"/>
  <c r="CX23" i="1"/>
  <c r="CX22" i="1"/>
  <c r="CX21" i="1"/>
  <c r="BI30" i="1"/>
  <c r="BH27" i="1"/>
  <c r="BI22" i="1"/>
  <c r="BH30" i="1"/>
  <c r="BI26" i="1"/>
  <c r="BH22" i="1"/>
  <c r="BJ29" i="1"/>
  <c r="BJ25" i="1"/>
  <c r="BI21" i="1"/>
  <c r="BI29" i="1"/>
  <c r="BI25" i="1"/>
  <c r="CZ30" i="1"/>
  <c r="CZ29" i="1"/>
  <c r="CZ28" i="1"/>
  <c r="CZ27" i="1"/>
  <c r="CZ26" i="1"/>
  <c r="CZ25" i="1"/>
  <c r="CZ24" i="1"/>
  <c r="CZ23" i="1"/>
  <c r="CZ22" i="1"/>
  <c r="CZ21" i="1"/>
  <c r="BH29" i="1"/>
  <c r="CY30" i="1"/>
  <c r="CY29" i="1"/>
  <c r="CY28" i="1"/>
  <c r="CY27" i="1"/>
  <c r="CY26" i="1"/>
  <c r="CY25" i="1"/>
  <c r="CY24" i="1"/>
  <c r="CY23" i="1"/>
  <c r="CY22" i="1"/>
  <c r="CY21" i="1"/>
  <c r="BI27" i="1"/>
  <c r="BJ24" i="1"/>
  <c r="BJ21" i="1"/>
  <c r="BJ26" i="1"/>
  <c r="BH24" i="1"/>
  <c r="BH21" i="1"/>
  <c r="BJ28" i="1"/>
  <c r="BH26" i="1"/>
  <c r="BH23" i="1"/>
  <c r="CD30" i="1"/>
  <c r="CD28" i="1"/>
  <c r="CC21" i="1"/>
  <c r="CC22" i="1"/>
  <c r="CC23" i="1"/>
  <c r="CC24" i="1"/>
  <c r="CC25" i="1"/>
  <c r="CC26" i="1"/>
  <c r="CC27" i="1"/>
  <c r="CC28" i="1"/>
  <c r="CC29" i="1"/>
  <c r="CC30" i="1"/>
  <c r="CD21" i="1"/>
  <c r="CD22" i="1"/>
  <c r="CD23" i="1"/>
  <c r="CD24" i="1"/>
  <c r="CD25" i="1"/>
  <c r="CD26" i="1"/>
  <c r="CE21" i="1"/>
  <c r="CE22" i="1"/>
  <c r="CE23" i="1"/>
  <c r="CE24" i="1"/>
  <c r="CE25" i="1"/>
  <c r="CE26" i="1"/>
  <c r="CE27" i="1"/>
  <c r="CE28" i="1"/>
  <c r="CE29" i="1"/>
  <c r="CE30" i="1"/>
  <c r="CD29" i="1"/>
  <c r="AO21" i="1"/>
  <c r="AM5" i="1"/>
  <c r="AM37" i="1" s="1"/>
  <c r="AN5" i="1"/>
  <c r="AN37" i="1" s="1"/>
  <c r="AO5" i="1"/>
  <c r="AO37" i="1" s="1"/>
  <c r="AN24" i="1"/>
  <c r="AM27" i="1"/>
  <c r="AM36" i="1"/>
  <c r="AL37" i="1"/>
  <c r="V18" i="13"/>
  <c r="AN17" i="13" s="1"/>
  <c r="L18" i="13"/>
  <c r="AE18" i="13"/>
  <c r="BO17" i="13" s="1"/>
  <c r="AD18" i="13"/>
  <c r="BL17" i="13" s="1"/>
  <c r="AC18" i="13"/>
  <c r="BI17" i="13" s="1"/>
  <c r="AB18" i="13"/>
  <c r="BF17" i="13" s="1"/>
  <c r="AA18" i="13"/>
  <c r="BC17" i="13" s="1"/>
  <c r="Z18" i="13"/>
  <c r="Y18" i="13"/>
  <c r="AW17" i="13" s="1"/>
  <c r="X18" i="13"/>
  <c r="AT17" i="13" s="1"/>
  <c r="W18" i="13"/>
  <c r="AQ17" i="13" s="1"/>
  <c r="U18" i="13"/>
  <c r="T18" i="13"/>
  <c r="S18" i="13"/>
  <c r="R18" i="13"/>
  <c r="Q18" i="13"/>
  <c r="P18" i="13"/>
  <c r="O18" i="13"/>
  <c r="N18" i="13"/>
  <c r="AT25" i="13" l="1"/>
  <c r="AU25" i="13" s="1"/>
  <c r="AV25" i="13" s="1"/>
  <c r="EV25" i="13" s="1"/>
  <c r="AT55" i="13"/>
  <c r="AU55" i="13" s="1"/>
  <c r="AV55" i="13" s="1"/>
  <c r="EV55" i="13" s="1"/>
  <c r="AT35" i="13"/>
  <c r="AU35" i="13" s="1"/>
  <c r="AV35" i="13" s="1"/>
  <c r="EV35" i="13" s="1"/>
  <c r="AT87" i="13"/>
  <c r="AU87" i="13" s="1"/>
  <c r="AV87" i="13" s="1"/>
  <c r="EV87" i="13" s="1"/>
  <c r="AT79" i="13"/>
  <c r="AU79" i="13" s="1"/>
  <c r="AV79" i="13" s="1"/>
  <c r="EV79" i="13" s="1"/>
  <c r="AT67" i="13"/>
  <c r="AU67" i="13" s="1"/>
  <c r="AV67" i="13" s="1"/>
  <c r="EV67" i="13" s="1"/>
  <c r="AT69" i="13"/>
  <c r="AU69" i="13" s="1"/>
  <c r="AV69" i="13" s="1"/>
  <c r="EV69" i="13" s="1"/>
  <c r="AT48" i="13"/>
  <c r="AU48" i="13" s="1"/>
  <c r="AV48" i="13" s="1"/>
  <c r="EV48" i="13" s="1"/>
  <c r="AT72" i="13"/>
  <c r="AU72" i="13" s="1"/>
  <c r="AV72" i="13" s="1"/>
  <c r="EV72" i="13" s="1"/>
  <c r="AT89" i="13"/>
  <c r="AU89" i="13" s="1"/>
  <c r="AV89" i="13" s="1"/>
  <c r="EV89" i="13" s="1"/>
  <c r="AT97" i="13"/>
  <c r="AU97" i="13" s="1"/>
  <c r="AV97" i="13" s="1"/>
  <c r="EV97" i="13" s="1"/>
  <c r="AT110" i="13"/>
  <c r="AU110" i="13" s="1"/>
  <c r="AV110" i="13" s="1"/>
  <c r="EV110" i="13" s="1"/>
  <c r="AT91" i="13"/>
  <c r="AU91" i="13" s="1"/>
  <c r="AV91" i="13" s="1"/>
  <c r="EV91" i="13" s="1"/>
  <c r="AT128" i="13"/>
  <c r="AU128" i="13" s="1"/>
  <c r="AV128" i="13" s="1"/>
  <c r="EV128" i="13" s="1"/>
  <c r="AT109" i="13"/>
  <c r="AU109" i="13" s="1"/>
  <c r="AV109" i="13" s="1"/>
  <c r="EV109" i="13" s="1"/>
  <c r="AT103" i="13"/>
  <c r="AU103" i="13" s="1"/>
  <c r="AV103" i="13" s="1"/>
  <c r="EV103" i="13" s="1"/>
  <c r="AT136" i="13"/>
  <c r="AU136" i="13" s="1"/>
  <c r="AV136" i="13" s="1"/>
  <c r="EV136" i="13" s="1"/>
  <c r="AT33" i="13"/>
  <c r="AU33" i="13" s="1"/>
  <c r="AV33" i="13" s="1"/>
  <c r="EV33" i="13" s="1"/>
  <c r="AT20" i="13"/>
  <c r="AT36" i="13"/>
  <c r="AU36" i="13" s="1"/>
  <c r="AV36" i="13" s="1"/>
  <c r="EV36" i="13" s="1"/>
  <c r="AT28" i="13"/>
  <c r="AU28" i="13" s="1"/>
  <c r="AV28" i="13" s="1"/>
  <c r="EV28" i="13" s="1"/>
  <c r="AT70" i="13"/>
  <c r="AU70" i="13" s="1"/>
  <c r="AV70" i="13" s="1"/>
  <c r="EV70" i="13" s="1"/>
  <c r="AT73" i="13"/>
  <c r="AU73" i="13" s="1"/>
  <c r="AV73" i="13" s="1"/>
  <c r="EV73" i="13" s="1"/>
  <c r="AT74" i="13"/>
  <c r="AU74" i="13" s="1"/>
  <c r="AV74" i="13" s="1"/>
  <c r="EV74" i="13" s="1"/>
  <c r="AT71" i="13"/>
  <c r="AU71" i="13" s="1"/>
  <c r="AV71" i="13" s="1"/>
  <c r="EV71" i="13" s="1"/>
  <c r="AT115" i="13"/>
  <c r="AU115" i="13" s="1"/>
  <c r="AV115" i="13" s="1"/>
  <c r="EV115" i="13" s="1"/>
  <c r="AT111" i="13"/>
  <c r="AU111" i="13" s="1"/>
  <c r="AV111" i="13" s="1"/>
  <c r="EV111" i="13" s="1"/>
  <c r="AT122" i="13"/>
  <c r="AU122" i="13" s="1"/>
  <c r="AV122" i="13" s="1"/>
  <c r="EV122" i="13" s="1"/>
  <c r="AT124" i="13"/>
  <c r="AU124" i="13" s="1"/>
  <c r="AV124" i="13" s="1"/>
  <c r="EV124" i="13" s="1"/>
  <c r="AT123" i="13"/>
  <c r="AU123" i="13" s="1"/>
  <c r="AV123" i="13" s="1"/>
  <c r="EV123" i="13" s="1"/>
  <c r="AT127" i="13"/>
  <c r="AU127" i="13" s="1"/>
  <c r="AV127" i="13" s="1"/>
  <c r="EV127" i="13" s="1"/>
  <c r="AT129" i="13"/>
  <c r="AU129" i="13" s="1"/>
  <c r="AV129" i="13" s="1"/>
  <c r="EV129" i="13" s="1"/>
  <c r="AT134" i="13"/>
  <c r="AU134" i="13" s="1"/>
  <c r="AV134" i="13" s="1"/>
  <c r="EV134" i="13" s="1"/>
  <c r="AT135" i="13"/>
  <c r="AU135" i="13" s="1"/>
  <c r="AV135" i="13" s="1"/>
  <c r="EV135" i="13" s="1"/>
  <c r="AT101" i="13"/>
  <c r="AU101" i="13" s="1"/>
  <c r="AV101" i="13" s="1"/>
  <c r="EV101" i="13" s="1"/>
  <c r="AT132" i="13"/>
  <c r="AU132" i="13" s="1"/>
  <c r="AV132" i="13" s="1"/>
  <c r="EV132" i="13" s="1"/>
  <c r="AT34" i="13"/>
  <c r="AU34" i="13" s="1"/>
  <c r="AV34" i="13" s="1"/>
  <c r="EV34" i="13" s="1"/>
  <c r="AT46" i="13"/>
  <c r="AU46" i="13" s="1"/>
  <c r="AV46" i="13" s="1"/>
  <c r="EV46" i="13" s="1"/>
  <c r="AT24" i="13"/>
  <c r="AU24" i="13" s="1"/>
  <c r="AV24" i="13" s="1"/>
  <c r="EV24" i="13" s="1"/>
  <c r="AT53" i="13"/>
  <c r="AU53" i="13" s="1"/>
  <c r="AV53" i="13" s="1"/>
  <c r="EV53" i="13" s="1"/>
  <c r="AT29" i="13"/>
  <c r="AU29" i="13" s="1"/>
  <c r="AV29" i="13" s="1"/>
  <c r="EV29" i="13" s="1"/>
  <c r="AT64" i="13"/>
  <c r="AU64" i="13" s="1"/>
  <c r="AV64" i="13" s="1"/>
  <c r="EV64" i="13" s="1"/>
  <c r="AT66" i="13"/>
  <c r="AU66" i="13" s="1"/>
  <c r="AV66" i="13" s="1"/>
  <c r="EV66" i="13" s="1"/>
  <c r="AT42" i="13"/>
  <c r="AU42" i="13" s="1"/>
  <c r="AV42" i="13" s="1"/>
  <c r="EV42" i="13" s="1"/>
  <c r="AT90" i="13"/>
  <c r="AU90" i="13" s="1"/>
  <c r="AV90" i="13" s="1"/>
  <c r="EV90" i="13" s="1"/>
  <c r="AT76" i="13"/>
  <c r="AU76" i="13" s="1"/>
  <c r="AV76" i="13" s="1"/>
  <c r="EV76" i="13" s="1"/>
  <c r="AT84" i="13"/>
  <c r="AU84" i="13" s="1"/>
  <c r="AV84" i="13" s="1"/>
  <c r="EV84" i="13" s="1"/>
  <c r="AT114" i="13"/>
  <c r="AU114" i="13" s="1"/>
  <c r="AV114" i="13" s="1"/>
  <c r="EV114" i="13" s="1"/>
  <c r="AT82" i="13"/>
  <c r="AU82" i="13" s="1"/>
  <c r="AV82" i="13" s="1"/>
  <c r="EV82" i="13" s="1"/>
  <c r="AT102" i="13"/>
  <c r="AU102" i="13" s="1"/>
  <c r="AV102" i="13" s="1"/>
  <c r="EV102" i="13" s="1"/>
  <c r="AT100" i="13"/>
  <c r="AU100" i="13" s="1"/>
  <c r="AV100" i="13" s="1"/>
  <c r="EV100" i="13" s="1"/>
  <c r="AT131" i="13"/>
  <c r="AU131" i="13" s="1"/>
  <c r="AV131" i="13" s="1"/>
  <c r="EV131" i="13" s="1"/>
  <c r="AT120" i="13"/>
  <c r="AU120" i="13" s="1"/>
  <c r="AV120" i="13" s="1"/>
  <c r="EV120" i="13" s="1"/>
  <c r="AT26" i="13"/>
  <c r="AU26" i="13" s="1"/>
  <c r="AV26" i="13" s="1"/>
  <c r="EV26" i="13" s="1"/>
  <c r="AT45" i="13"/>
  <c r="AU45" i="13" s="1"/>
  <c r="AV45" i="13" s="1"/>
  <c r="EV45" i="13" s="1"/>
  <c r="AT22" i="13"/>
  <c r="AT57" i="13"/>
  <c r="AU57" i="13" s="1"/>
  <c r="AV57" i="13" s="1"/>
  <c r="EV57" i="13" s="1"/>
  <c r="AT61" i="13"/>
  <c r="AU61" i="13" s="1"/>
  <c r="AV61" i="13" s="1"/>
  <c r="EV61" i="13" s="1"/>
  <c r="AT43" i="13"/>
  <c r="AU43" i="13" s="1"/>
  <c r="AV43" i="13" s="1"/>
  <c r="EV43" i="13" s="1"/>
  <c r="AT58" i="13"/>
  <c r="AU58" i="13" s="1"/>
  <c r="AV58" i="13" s="1"/>
  <c r="EV58" i="13" s="1"/>
  <c r="AT30" i="13"/>
  <c r="AU30" i="13" s="1"/>
  <c r="AV30" i="13" s="1"/>
  <c r="EV30" i="13" s="1"/>
  <c r="AT49" i="13"/>
  <c r="AU49" i="13" s="1"/>
  <c r="AV49" i="13" s="1"/>
  <c r="EV49" i="13" s="1"/>
  <c r="AT41" i="13"/>
  <c r="AU41" i="13" s="1"/>
  <c r="AV41" i="13" s="1"/>
  <c r="EV41" i="13" s="1"/>
  <c r="AT77" i="13"/>
  <c r="AU77" i="13" s="1"/>
  <c r="AV77" i="13" s="1"/>
  <c r="EV77" i="13" s="1"/>
  <c r="AT68" i="13"/>
  <c r="AU68" i="13" s="1"/>
  <c r="AV68" i="13" s="1"/>
  <c r="EV68" i="13" s="1"/>
  <c r="AT47" i="13"/>
  <c r="AU47" i="13" s="1"/>
  <c r="AV47" i="13" s="1"/>
  <c r="EV47" i="13" s="1"/>
  <c r="AT62" i="13"/>
  <c r="AU62" i="13" s="1"/>
  <c r="AV62" i="13" s="1"/>
  <c r="EV62" i="13" s="1"/>
  <c r="AT112" i="13"/>
  <c r="AU112" i="13" s="1"/>
  <c r="AV112" i="13" s="1"/>
  <c r="EV112" i="13" s="1"/>
  <c r="AT63" i="13"/>
  <c r="AU63" i="13" s="1"/>
  <c r="AV63" i="13" s="1"/>
  <c r="EV63" i="13" s="1"/>
  <c r="AT106" i="13"/>
  <c r="AU106" i="13" s="1"/>
  <c r="AV106" i="13" s="1"/>
  <c r="EV106" i="13" s="1"/>
  <c r="AT118" i="13"/>
  <c r="AU118" i="13" s="1"/>
  <c r="AV118" i="13" s="1"/>
  <c r="EV118" i="13" s="1"/>
  <c r="AT116" i="13"/>
  <c r="AU116" i="13" s="1"/>
  <c r="AV116" i="13" s="1"/>
  <c r="EV116" i="13" s="1"/>
  <c r="AT133" i="13"/>
  <c r="AU133" i="13" s="1"/>
  <c r="AV133" i="13" s="1"/>
  <c r="EV133" i="13" s="1"/>
  <c r="AT65" i="13"/>
  <c r="AU65" i="13" s="1"/>
  <c r="AV65" i="13" s="1"/>
  <c r="EV65" i="13" s="1"/>
  <c r="AT93" i="13"/>
  <c r="AU93" i="13" s="1"/>
  <c r="AV93" i="13" s="1"/>
  <c r="EV93" i="13" s="1"/>
  <c r="AT104" i="13"/>
  <c r="AU104" i="13" s="1"/>
  <c r="AV104" i="13" s="1"/>
  <c r="EV104" i="13" s="1"/>
  <c r="AT108" i="13"/>
  <c r="AU108" i="13" s="1"/>
  <c r="AT21" i="13"/>
  <c r="AT44" i="13"/>
  <c r="AU44" i="13" s="1"/>
  <c r="AV44" i="13" s="1"/>
  <c r="EV44" i="13" s="1"/>
  <c r="AT51" i="13"/>
  <c r="AU51" i="13" s="1"/>
  <c r="AV51" i="13" s="1"/>
  <c r="EV51" i="13" s="1"/>
  <c r="AT54" i="13"/>
  <c r="AU54" i="13" s="1"/>
  <c r="AV54" i="13" s="1"/>
  <c r="EV54" i="13" s="1"/>
  <c r="AT32" i="13"/>
  <c r="AU32" i="13" s="1"/>
  <c r="AV32" i="13" s="1"/>
  <c r="EV32" i="13" s="1"/>
  <c r="AT37" i="13"/>
  <c r="AU37" i="13" s="1"/>
  <c r="AV37" i="13" s="1"/>
  <c r="EV37" i="13" s="1"/>
  <c r="AT83" i="13"/>
  <c r="AU83" i="13" s="1"/>
  <c r="AV83" i="13" s="1"/>
  <c r="EV83" i="13" s="1"/>
  <c r="AT78" i="13"/>
  <c r="AU78" i="13" s="1"/>
  <c r="AV78" i="13" s="1"/>
  <c r="EV78" i="13" s="1"/>
  <c r="AT81" i="13"/>
  <c r="AU81" i="13" s="1"/>
  <c r="AV81" i="13" s="1"/>
  <c r="EV81" i="13" s="1"/>
  <c r="AT92" i="13"/>
  <c r="AU92" i="13" s="1"/>
  <c r="AV92" i="13" s="1"/>
  <c r="EV92" i="13" s="1"/>
  <c r="AT98" i="13"/>
  <c r="AU98" i="13" s="1"/>
  <c r="AV98" i="13" s="1"/>
  <c r="EV98" i="13" s="1"/>
  <c r="AT113" i="13"/>
  <c r="AU113" i="13" s="1"/>
  <c r="AT95" i="13"/>
  <c r="AU95" i="13" s="1"/>
  <c r="AV95" i="13" s="1"/>
  <c r="EV95" i="13" s="1"/>
  <c r="AT137" i="13"/>
  <c r="AU137" i="13" s="1"/>
  <c r="AV137" i="13" s="1"/>
  <c r="EV137" i="13" s="1"/>
  <c r="AT19" i="13"/>
  <c r="AT125" i="13"/>
  <c r="AU125" i="13" s="1"/>
  <c r="AV125" i="13" s="1"/>
  <c r="EV125" i="13" s="1"/>
  <c r="AT75" i="13"/>
  <c r="AU75" i="13" s="1"/>
  <c r="AV75" i="13" s="1"/>
  <c r="EV75" i="13" s="1"/>
  <c r="AT121" i="13"/>
  <c r="AU121" i="13" s="1"/>
  <c r="AV121" i="13" s="1"/>
  <c r="EV121" i="13" s="1"/>
  <c r="AT88" i="13"/>
  <c r="AU88" i="13" s="1"/>
  <c r="AV88" i="13" s="1"/>
  <c r="EV88" i="13" s="1"/>
  <c r="AT119" i="13"/>
  <c r="AU119" i="13" s="1"/>
  <c r="AV119" i="13" s="1"/>
  <c r="EV119" i="13" s="1"/>
  <c r="AT130" i="13"/>
  <c r="AU130" i="13" s="1"/>
  <c r="AV130" i="13" s="1"/>
  <c r="EV130" i="13" s="1"/>
  <c r="AT56" i="13"/>
  <c r="AU56" i="13" s="1"/>
  <c r="AV56" i="13" s="1"/>
  <c r="EV56" i="13" s="1"/>
  <c r="AT23" i="13"/>
  <c r="AU23" i="13" s="1"/>
  <c r="AV23" i="13" s="1"/>
  <c r="EV23" i="13" s="1"/>
  <c r="AT85" i="13"/>
  <c r="AU85" i="13" s="1"/>
  <c r="AV85" i="13" s="1"/>
  <c r="EV85" i="13" s="1"/>
  <c r="AT31" i="13"/>
  <c r="AU31" i="13" s="1"/>
  <c r="AV31" i="13" s="1"/>
  <c r="EV31" i="13" s="1"/>
  <c r="AT27" i="13"/>
  <c r="AU27" i="13" s="1"/>
  <c r="AV27" i="13" s="1"/>
  <c r="EV27" i="13" s="1"/>
  <c r="AT39" i="13"/>
  <c r="AU39" i="13" s="1"/>
  <c r="AV39" i="13" s="1"/>
  <c r="EV39" i="13" s="1"/>
  <c r="AT52" i="13"/>
  <c r="AU52" i="13" s="1"/>
  <c r="AV52" i="13" s="1"/>
  <c r="EV52" i="13" s="1"/>
  <c r="AT38" i="13"/>
  <c r="AU38" i="13" s="1"/>
  <c r="AV38" i="13" s="1"/>
  <c r="EV38" i="13" s="1"/>
  <c r="AT50" i="13"/>
  <c r="AU50" i="13" s="1"/>
  <c r="AV50" i="13" s="1"/>
  <c r="EV50" i="13" s="1"/>
  <c r="AT80" i="13"/>
  <c r="AU80" i="13" s="1"/>
  <c r="AV80" i="13" s="1"/>
  <c r="EV80" i="13" s="1"/>
  <c r="AT94" i="13"/>
  <c r="AU94" i="13" s="1"/>
  <c r="AV94" i="13" s="1"/>
  <c r="EV94" i="13" s="1"/>
  <c r="AT107" i="13"/>
  <c r="AU107" i="13" s="1"/>
  <c r="AV107" i="13" s="1"/>
  <c r="EV107" i="13" s="1"/>
  <c r="AT40" i="13"/>
  <c r="AU40" i="13" s="1"/>
  <c r="AV40" i="13" s="1"/>
  <c r="EV40" i="13" s="1"/>
  <c r="AT59" i="13"/>
  <c r="AU59" i="13" s="1"/>
  <c r="AV59" i="13" s="1"/>
  <c r="EV59" i="13" s="1"/>
  <c r="AT86" i="13"/>
  <c r="AU86" i="13" s="1"/>
  <c r="AV86" i="13" s="1"/>
  <c r="EV86" i="13" s="1"/>
  <c r="AT60" i="13"/>
  <c r="AU60" i="13" s="1"/>
  <c r="AV60" i="13" s="1"/>
  <c r="EV60" i="13" s="1"/>
  <c r="AT96" i="13"/>
  <c r="AU96" i="13" s="1"/>
  <c r="AV96" i="13" s="1"/>
  <c r="EV96" i="13" s="1"/>
  <c r="AT99" i="13"/>
  <c r="AU99" i="13" s="1"/>
  <c r="AV99" i="13" s="1"/>
  <c r="EV99" i="13" s="1"/>
  <c r="AT126" i="13"/>
  <c r="AU126" i="13" s="1"/>
  <c r="AV126" i="13" s="1"/>
  <c r="EV126" i="13" s="1"/>
  <c r="AT117" i="13"/>
  <c r="AU117" i="13" s="1"/>
  <c r="AV117" i="13" s="1"/>
  <c r="EV117" i="13" s="1"/>
  <c r="AT105" i="13"/>
  <c r="AU105" i="13" s="1"/>
  <c r="AV105" i="13" s="1"/>
  <c r="EV105" i="13" s="1"/>
  <c r="AQ34" i="13"/>
  <c r="AR34" i="13" s="1"/>
  <c r="AS34" i="13" s="1"/>
  <c r="EN34" i="13" s="1"/>
  <c r="AQ52" i="13"/>
  <c r="AR52" i="13" s="1"/>
  <c r="AS52" i="13" s="1"/>
  <c r="EN52" i="13" s="1"/>
  <c r="AQ41" i="13"/>
  <c r="AR41" i="13" s="1"/>
  <c r="AQ59" i="13"/>
  <c r="AR59" i="13" s="1"/>
  <c r="AS59" i="13" s="1"/>
  <c r="EN59" i="13" s="1"/>
  <c r="AQ38" i="13"/>
  <c r="AR38" i="13" s="1"/>
  <c r="AS38" i="13" s="1"/>
  <c r="EN38" i="13" s="1"/>
  <c r="AQ26" i="13"/>
  <c r="AR26" i="13" s="1"/>
  <c r="AS26" i="13" s="1"/>
  <c r="EN26" i="13" s="1"/>
  <c r="AQ57" i="13"/>
  <c r="AR57" i="13" s="1"/>
  <c r="AS57" i="13" s="1"/>
  <c r="EN57" i="13" s="1"/>
  <c r="AQ61" i="13"/>
  <c r="AR61" i="13" s="1"/>
  <c r="AS61" i="13" s="1"/>
  <c r="EN61" i="13" s="1"/>
  <c r="AQ87" i="13"/>
  <c r="AR87" i="13" s="1"/>
  <c r="AS87" i="13" s="1"/>
  <c r="EN87" i="13" s="1"/>
  <c r="AQ124" i="13"/>
  <c r="AR124" i="13" s="1"/>
  <c r="AS124" i="13" s="1"/>
  <c r="EN124" i="13" s="1"/>
  <c r="AQ96" i="13"/>
  <c r="AR96" i="13" s="1"/>
  <c r="AS96" i="13" s="1"/>
  <c r="EN96" i="13" s="1"/>
  <c r="AQ64" i="13"/>
  <c r="AR64" i="13" s="1"/>
  <c r="AS64" i="13" s="1"/>
  <c r="EN64" i="13" s="1"/>
  <c r="AQ100" i="13"/>
  <c r="AR100" i="13" s="1"/>
  <c r="AS100" i="13" s="1"/>
  <c r="EN100" i="13" s="1"/>
  <c r="AQ97" i="13"/>
  <c r="AR97" i="13" s="1"/>
  <c r="AS97" i="13" s="1"/>
  <c r="EN97" i="13" s="1"/>
  <c r="AQ136" i="13"/>
  <c r="AR136" i="13" s="1"/>
  <c r="AS136" i="13" s="1"/>
  <c r="EN136" i="13" s="1"/>
  <c r="AQ121" i="13"/>
  <c r="AR121" i="13" s="1"/>
  <c r="AS121" i="13" s="1"/>
  <c r="EN121" i="13" s="1"/>
  <c r="AQ112" i="13"/>
  <c r="AR112" i="13" s="1"/>
  <c r="AS112" i="13" s="1"/>
  <c r="EN112" i="13" s="1"/>
  <c r="AQ131" i="13"/>
  <c r="AR131" i="13" s="1"/>
  <c r="AS131" i="13" s="1"/>
  <c r="EN131" i="13" s="1"/>
  <c r="AQ130" i="13"/>
  <c r="AR130" i="13" s="1"/>
  <c r="AS130" i="13" s="1"/>
  <c r="EN130" i="13" s="1"/>
  <c r="AQ127" i="13"/>
  <c r="AR127" i="13" s="1"/>
  <c r="AS127" i="13" s="1"/>
  <c r="EN127" i="13" s="1"/>
  <c r="AQ128" i="13"/>
  <c r="AR128" i="13" s="1"/>
  <c r="AS128" i="13" s="1"/>
  <c r="EN128" i="13" s="1"/>
  <c r="AQ54" i="13"/>
  <c r="AR54" i="13" s="1"/>
  <c r="AS54" i="13" s="1"/>
  <c r="EN54" i="13" s="1"/>
  <c r="AQ22" i="13"/>
  <c r="AQ44" i="13"/>
  <c r="AR44" i="13" s="1"/>
  <c r="AS44" i="13" s="1"/>
  <c r="EN44" i="13" s="1"/>
  <c r="AQ88" i="13"/>
  <c r="AR88" i="13" s="1"/>
  <c r="AS88" i="13" s="1"/>
  <c r="EN88" i="13" s="1"/>
  <c r="AQ31" i="13"/>
  <c r="AR31" i="13" s="1"/>
  <c r="AS31" i="13" s="1"/>
  <c r="EN31" i="13" s="1"/>
  <c r="AQ68" i="13"/>
  <c r="AR68" i="13" s="1"/>
  <c r="AS68" i="13" s="1"/>
  <c r="EN68" i="13" s="1"/>
  <c r="AQ63" i="13"/>
  <c r="AR63" i="13" s="1"/>
  <c r="AS63" i="13" s="1"/>
  <c r="EN63" i="13" s="1"/>
  <c r="AQ74" i="13"/>
  <c r="AR74" i="13" s="1"/>
  <c r="AS74" i="13" s="1"/>
  <c r="EN74" i="13" s="1"/>
  <c r="AQ62" i="13"/>
  <c r="AR62" i="13" s="1"/>
  <c r="AS62" i="13" s="1"/>
  <c r="EN62" i="13" s="1"/>
  <c r="AQ104" i="13"/>
  <c r="AR104" i="13" s="1"/>
  <c r="AS104" i="13" s="1"/>
  <c r="EN104" i="13" s="1"/>
  <c r="AQ101" i="13"/>
  <c r="AR101" i="13" s="1"/>
  <c r="AS101" i="13" s="1"/>
  <c r="EN101" i="13" s="1"/>
  <c r="AQ98" i="13"/>
  <c r="AR98" i="13" s="1"/>
  <c r="AS98" i="13" s="1"/>
  <c r="EN98" i="13" s="1"/>
  <c r="AQ99" i="13"/>
  <c r="AR99" i="13" s="1"/>
  <c r="AS99" i="13" s="1"/>
  <c r="EN99" i="13" s="1"/>
  <c r="AQ137" i="13"/>
  <c r="AR137" i="13" s="1"/>
  <c r="AS137" i="13" s="1"/>
  <c r="EN137" i="13" s="1"/>
  <c r="AQ106" i="13"/>
  <c r="AR106" i="13" s="1"/>
  <c r="AS106" i="13" s="1"/>
  <c r="EN106" i="13" s="1"/>
  <c r="AQ133" i="13"/>
  <c r="AR133" i="13" s="1"/>
  <c r="AS133" i="13" s="1"/>
  <c r="EN133" i="13" s="1"/>
  <c r="AQ85" i="13"/>
  <c r="AR85" i="13" s="1"/>
  <c r="AS85" i="13" s="1"/>
  <c r="EN85" i="13" s="1"/>
  <c r="AQ132" i="13"/>
  <c r="AR132" i="13" s="1"/>
  <c r="AS132" i="13" s="1"/>
  <c r="EN132" i="13" s="1"/>
  <c r="AQ55" i="13"/>
  <c r="AR55" i="13" s="1"/>
  <c r="AS55" i="13" s="1"/>
  <c r="EN55" i="13" s="1"/>
  <c r="AQ21" i="13"/>
  <c r="AQ37" i="13"/>
  <c r="AR37" i="13" s="1"/>
  <c r="AS37" i="13" s="1"/>
  <c r="EN37" i="13" s="1"/>
  <c r="AQ27" i="13"/>
  <c r="AR27" i="13" s="1"/>
  <c r="AS27" i="13" s="1"/>
  <c r="EN27" i="13" s="1"/>
  <c r="AQ78" i="13"/>
  <c r="AR78" i="13" s="1"/>
  <c r="AS78" i="13" s="1"/>
  <c r="EN78" i="13" s="1"/>
  <c r="AQ89" i="13"/>
  <c r="AR89" i="13" s="1"/>
  <c r="AS89" i="13" s="1"/>
  <c r="EN89" i="13" s="1"/>
  <c r="AQ93" i="13"/>
  <c r="AR93" i="13" s="1"/>
  <c r="AS93" i="13" s="1"/>
  <c r="EN93" i="13" s="1"/>
  <c r="AQ105" i="13"/>
  <c r="AR105" i="13" s="1"/>
  <c r="AS105" i="13" s="1"/>
  <c r="EN105" i="13" s="1"/>
  <c r="AQ116" i="13"/>
  <c r="AR116" i="13" s="1"/>
  <c r="AS116" i="13" s="1"/>
  <c r="EN116" i="13" s="1"/>
  <c r="AQ113" i="13"/>
  <c r="AR113" i="13" s="1"/>
  <c r="AS113" i="13" s="1"/>
  <c r="EN113" i="13" s="1"/>
  <c r="AQ129" i="13"/>
  <c r="AR129" i="13" s="1"/>
  <c r="AS129" i="13" s="1"/>
  <c r="EN129" i="13" s="1"/>
  <c r="AQ35" i="13"/>
  <c r="AR35" i="13" s="1"/>
  <c r="AS35" i="13" s="1"/>
  <c r="EN35" i="13" s="1"/>
  <c r="AQ20" i="13"/>
  <c r="AQ47" i="13"/>
  <c r="AR47" i="13" s="1"/>
  <c r="AS47" i="13" s="1"/>
  <c r="EN47" i="13" s="1"/>
  <c r="AQ28" i="13"/>
  <c r="AR28" i="13" s="1"/>
  <c r="AS28" i="13" s="1"/>
  <c r="EN28" i="13" s="1"/>
  <c r="AQ30" i="13"/>
  <c r="AR30" i="13" s="1"/>
  <c r="AS30" i="13" s="1"/>
  <c r="EN30" i="13" s="1"/>
  <c r="AQ65" i="13"/>
  <c r="AR65" i="13" s="1"/>
  <c r="AS65" i="13" s="1"/>
  <c r="EN65" i="13" s="1"/>
  <c r="AQ80" i="13"/>
  <c r="AR80" i="13" s="1"/>
  <c r="AS80" i="13" s="1"/>
  <c r="EN80" i="13" s="1"/>
  <c r="AQ90" i="13"/>
  <c r="AR90" i="13" s="1"/>
  <c r="AS90" i="13" s="1"/>
  <c r="EN90" i="13" s="1"/>
  <c r="AQ69" i="13"/>
  <c r="AR69" i="13" s="1"/>
  <c r="AS69" i="13" s="1"/>
  <c r="EN69" i="13" s="1"/>
  <c r="AQ75" i="13"/>
  <c r="AR75" i="13" s="1"/>
  <c r="AS75" i="13" s="1"/>
  <c r="EN75" i="13" s="1"/>
  <c r="AQ92" i="13"/>
  <c r="AR92" i="13" s="1"/>
  <c r="AS92" i="13" s="1"/>
  <c r="EN92" i="13" s="1"/>
  <c r="AQ91" i="13"/>
  <c r="AR91" i="13" s="1"/>
  <c r="AS91" i="13" s="1"/>
  <c r="EN91" i="13" s="1"/>
  <c r="AQ42" i="13"/>
  <c r="AR42" i="13" s="1"/>
  <c r="AS42" i="13" s="1"/>
  <c r="EN42" i="13" s="1"/>
  <c r="AQ67" i="13"/>
  <c r="AR67" i="13" s="1"/>
  <c r="AS67" i="13" s="1"/>
  <c r="EN67" i="13" s="1"/>
  <c r="AQ70" i="13"/>
  <c r="AR70" i="13" s="1"/>
  <c r="AS70" i="13" s="1"/>
  <c r="EN70" i="13" s="1"/>
  <c r="AQ76" i="13"/>
  <c r="AR76" i="13" s="1"/>
  <c r="AS76" i="13" s="1"/>
  <c r="EN76" i="13" s="1"/>
  <c r="AQ60" i="13"/>
  <c r="AR60" i="13" s="1"/>
  <c r="AS60" i="13" s="1"/>
  <c r="EN60" i="13" s="1"/>
  <c r="AQ72" i="13"/>
  <c r="AR72" i="13" s="1"/>
  <c r="AS72" i="13" s="1"/>
  <c r="EN72" i="13" s="1"/>
  <c r="AQ79" i="13"/>
  <c r="AR79" i="13" s="1"/>
  <c r="AS79" i="13" s="1"/>
  <c r="EN79" i="13" s="1"/>
  <c r="AQ94" i="13"/>
  <c r="AR94" i="13" s="1"/>
  <c r="AS94" i="13" s="1"/>
  <c r="EN94" i="13" s="1"/>
  <c r="AQ102" i="13"/>
  <c r="AR102" i="13" s="1"/>
  <c r="AS102" i="13" s="1"/>
  <c r="EN102" i="13" s="1"/>
  <c r="AQ118" i="13"/>
  <c r="AR118" i="13" s="1"/>
  <c r="AS118" i="13" s="1"/>
  <c r="EN118" i="13" s="1"/>
  <c r="AQ81" i="13"/>
  <c r="AR81" i="13" s="1"/>
  <c r="AS81" i="13" s="1"/>
  <c r="EN81" i="13" s="1"/>
  <c r="AQ110" i="13"/>
  <c r="AR110" i="13" s="1"/>
  <c r="AS110" i="13" s="1"/>
  <c r="EN110" i="13" s="1"/>
  <c r="AQ134" i="13"/>
  <c r="AR134" i="13" s="1"/>
  <c r="AS134" i="13" s="1"/>
  <c r="EN134" i="13" s="1"/>
  <c r="AQ135" i="13"/>
  <c r="AR135" i="13" s="1"/>
  <c r="AS135" i="13" s="1"/>
  <c r="EN135" i="13" s="1"/>
  <c r="AQ19" i="13"/>
  <c r="AQ71" i="13"/>
  <c r="AR71" i="13" s="1"/>
  <c r="AS71" i="13" s="1"/>
  <c r="EN71" i="13" s="1"/>
  <c r="AQ82" i="13"/>
  <c r="AR82" i="13" s="1"/>
  <c r="AS82" i="13" s="1"/>
  <c r="EN82" i="13" s="1"/>
  <c r="AQ108" i="13"/>
  <c r="AR108" i="13" s="1"/>
  <c r="AS108" i="13" s="1"/>
  <c r="EN108" i="13" s="1"/>
  <c r="AQ123" i="13"/>
  <c r="AR123" i="13" s="1"/>
  <c r="AS123" i="13" s="1"/>
  <c r="EN123" i="13" s="1"/>
  <c r="AQ86" i="13"/>
  <c r="AR86" i="13" s="1"/>
  <c r="AS86" i="13" s="1"/>
  <c r="EN86" i="13" s="1"/>
  <c r="AQ109" i="13"/>
  <c r="AR109" i="13" s="1"/>
  <c r="AS109" i="13" s="1"/>
  <c r="EN109" i="13" s="1"/>
  <c r="AQ125" i="13"/>
  <c r="AR125" i="13" s="1"/>
  <c r="AS125" i="13" s="1"/>
  <c r="EN125" i="13" s="1"/>
  <c r="AQ48" i="13"/>
  <c r="AR48" i="13" s="1"/>
  <c r="AS48" i="13" s="1"/>
  <c r="EN48" i="13" s="1"/>
  <c r="AQ51" i="13"/>
  <c r="AR51" i="13" s="1"/>
  <c r="AS51" i="13" s="1"/>
  <c r="EN51" i="13" s="1"/>
  <c r="AQ77" i="13"/>
  <c r="AR77" i="13" s="1"/>
  <c r="AS77" i="13" s="1"/>
  <c r="EN77" i="13" s="1"/>
  <c r="AQ84" i="13"/>
  <c r="AR84" i="13" s="1"/>
  <c r="AS84" i="13" s="1"/>
  <c r="EN84" i="13" s="1"/>
  <c r="AQ25" i="13"/>
  <c r="AR25" i="13" s="1"/>
  <c r="AS25" i="13" s="1"/>
  <c r="EN25" i="13" s="1"/>
  <c r="AQ40" i="13"/>
  <c r="AR40" i="13" s="1"/>
  <c r="AS40" i="13" s="1"/>
  <c r="EN40" i="13" s="1"/>
  <c r="AQ50" i="13"/>
  <c r="AR50" i="13" s="1"/>
  <c r="AQ56" i="13"/>
  <c r="AR56" i="13" s="1"/>
  <c r="AS56" i="13" s="1"/>
  <c r="EN56" i="13" s="1"/>
  <c r="AQ32" i="13"/>
  <c r="AR32" i="13" s="1"/>
  <c r="AS32" i="13" s="1"/>
  <c r="EN32" i="13" s="1"/>
  <c r="AQ73" i="13"/>
  <c r="AR73" i="13" s="1"/>
  <c r="AS73" i="13" s="1"/>
  <c r="EN73" i="13" s="1"/>
  <c r="AQ83" i="13"/>
  <c r="AR83" i="13" s="1"/>
  <c r="AS83" i="13" s="1"/>
  <c r="EN83" i="13" s="1"/>
  <c r="AQ103" i="13"/>
  <c r="AR103" i="13" s="1"/>
  <c r="AS103" i="13" s="1"/>
  <c r="EN103" i="13" s="1"/>
  <c r="AQ107" i="13"/>
  <c r="AR107" i="13" s="1"/>
  <c r="AS107" i="13" s="1"/>
  <c r="EN107" i="13" s="1"/>
  <c r="AQ119" i="13"/>
  <c r="AR119" i="13" s="1"/>
  <c r="AS119" i="13" s="1"/>
  <c r="EN119" i="13" s="1"/>
  <c r="AQ117" i="13"/>
  <c r="AR117" i="13" s="1"/>
  <c r="AS117" i="13" s="1"/>
  <c r="EN117" i="13" s="1"/>
  <c r="AQ43" i="13"/>
  <c r="AR43" i="13" s="1"/>
  <c r="AS43" i="13" s="1"/>
  <c r="EN43" i="13" s="1"/>
  <c r="AQ115" i="13"/>
  <c r="AR115" i="13" s="1"/>
  <c r="AS115" i="13" s="1"/>
  <c r="EN115" i="13" s="1"/>
  <c r="AQ126" i="13"/>
  <c r="AR126" i="13" s="1"/>
  <c r="AS126" i="13" s="1"/>
  <c r="EN126" i="13" s="1"/>
  <c r="AQ24" i="13"/>
  <c r="AR24" i="13" s="1"/>
  <c r="AS24" i="13" s="1"/>
  <c r="EN24" i="13" s="1"/>
  <c r="AQ53" i="13"/>
  <c r="AR53" i="13" s="1"/>
  <c r="AS53" i="13" s="1"/>
  <c r="EN53" i="13" s="1"/>
  <c r="AQ39" i="13"/>
  <c r="AR39" i="13" s="1"/>
  <c r="AS39" i="13" s="1"/>
  <c r="EN39" i="13" s="1"/>
  <c r="AQ45" i="13"/>
  <c r="AR45" i="13" s="1"/>
  <c r="AS45" i="13" s="1"/>
  <c r="EN45" i="13" s="1"/>
  <c r="AQ23" i="13"/>
  <c r="AR23" i="13" s="1"/>
  <c r="AS23" i="13" s="1"/>
  <c r="EN23" i="13" s="1"/>
  <c r="AQ33" i="13"/>
  <c r="AR33" i="13" s="1"/>
  <c r="AS33" i="13" s="1"/>
  <c r="EN33" i="13" s="1"/>
  <c r="AQ49" i="13"/>
  <c r="AR49" i="13" s="1"/>
  <c r="AS49" i="13" s="1"/>
  <c r="EN49" i="13" s="1"/>
  <c r="AQ58" i="13"/>
  <c r="AR58" i="13" s="1"/>
  <c r="AS58" i="13" s="1"/>
  <c r="EN58" i="13" s="1"/>
  <c r="AQ66" i="13"/>
  <c r="AR66" i="13" s="1"/>
  <c r="AS66" i="13" s="1"/>
  <c r="EN66" i="13" s="1"/>
  <c r="AQ114" i="13"/>
  <c r="AR114" i="13" s="1"/>
  <c r="AS114" i="13" s="1"/>
  <c r="EN114" i="13" s="1"/>
  <c r="AQ46" i="13"/>
  <c r="AR46" i="13" s="1"/>
  <c r="AS46" i="13" s="1"/>
  <c r="EN46" i="13" s="1"/>
  <c r="AQ36" i="13"/>
  <c r="AR36" i="13" s="1"/>
  <c r="AS36" i="13" s="1"/>
  <c r="EN36" i="13" s="1"/>
  <c r="AQ122" i="13"/>
  <c r="AR122" i="13" s="1"/>
  <c r="AS122" i="13" s="1"/>
  <c r="EN122" i="13" s="1"/>
  <c r="AQ120" i="13"/>
  <c r="AR120" i="13" s="1"/>
  <c r="AS120" i="13" s="1"/>
  <c r="EN120" i="13" s="1"/>
  <c r="AQ29" i="13"/>
  <c r="AR29" i="13" s="1"/>
  <c r="AS29" i="13" s="1"/>
  <c r="EN29" i="13" s="1"/>
  <c r="AQ111" i="13"/>
  <c r="AR111" i="13" s="1"/>
  <c r="AS111" i="13" s="1"/>
  <c r="EN111" i="13" s="1"/>
  <c r="AQ95" i="13"/>
  <c r="AR95" i="13" s="1"/>
  <c r="AS95" i="13" s="1"/>
  <c r="EN95" i="13" s="1"/>
  <c r="AW31" i="13"/>
  <c r="AX31" i="13" s="1"/>
  <c r="AY31" i="13" s="1"/>
  <c r="FD31" i="13" s="1"/>
  <c r="AW39" i="13"/>
  <c r="AX39" i="13" s="1"/>
  <c r="AY39" i="13" s="1"/>
  <c r="FD39" i="13" s="1"/>
  <c r="AW51" i="13"/>
  <c r="AX51" i="13" s="1"/>
  <c r="AY51" i="13" s="1"/>
  <c r="FD51" i="13" s="1"/>
  <c r="AW23" i="13"/>
  <c r="AX23" i="13" s="1"/>
  <c r="AY23" i="13" s="1"/>
  <c r="FD23" i="13" s="1"/>
  <c r="AW42" i="13"/>
  <c r="AX42" i="13" s="1"/>
  <c r="AY42" i="13" s="1"/>
  <c r="FD42" i="13" s="1"/>
  <c r="AW61" i="13"/>
  <c r="AX61" i="13" s="1"/>
  <c r="AY61" i="13" s="1"/>
  <c r="FD61" i="13" s="1"/>
  <c r="AW73" i="13"/>
  <c r="AX73" i="13" s="1"/>
  <c r="AY73" i="13" s="1"/>
  <c r="FD73" i="13" s="1"/>
  <c r="AW35" i="13"/>
  <c r="AX35" i="13" s="1"/>
  <c r="AY35" i="13" s="1"/>
  <c r="FD35" i="13" s="1"/>
  <c r="AW83" i="13"/>
  <c r="AX83" i="13" s="1"/>
  <c r="AY83" i="13" s="1"/>
  <c r="FD83" i="13" s="1"/>
  <c r="AW90" i="13"/>
  <c r="AX90" i="13" s="1"/>
  <c r="AY90" i="13" s="1"/>
  <c r="FD90" i="13" s="1"/>
  <c r="AW81" i="13"/>
  <c r="AX81" i="13" s="1"/>
  <c r="AY81" i="13" s="1"/>
  <c r="FD81" i="13" s="1"/>
  <c r="AW114" i="13"/>
  <c r="AX114" i="13" s="1"/>
  <c r="AY114" i="13" s="1"/>
  <c r="FD114" i="13" s="1"/>
  <c r="AW121" i="13"/>
  <c r="AX121" i="13" s="1"/>
  <c r="AY121" i="13" s="1"/>
  <c r="FD121" i="13" s="1"/>
  <c r="AW110" i="13"/>
  <c r="AX110" i="13" s="1"/>
  <c r="AY110" i="13" s="1"/>
  <c r="FD110" i="13" s="1"/>
  <c r="AW123" i="13"/>
  <c r="AX123" i="13" s="1"/>
  <c r="AY123" i="13" s="1"/>
  <c r="FD123" i="13" s="1"/>
  <c r="AW112" i="13"/>
  <c r="AX112" i="13" s="1"/>
  <c r="AY112" i="13" s="1"/>
  <c r="FD112" i="13" s="1"/>
  <c r="AW107" i="13"/>
  <c r="AX107" i="13" s="1"/>
  <c r="AY107" i="13" s="1"/>
  <c r="FD107" i="13" s="1"/>
  <c r="AW24" i="13"/>
  <c r="AX24" i="13" s="1"/>
  <c r="AY24" i="13" s="1"/>
  <c r="FD24" i="13" s="1"/>
  <c r="AW101" i="13"/>
  <c r="AX101" i="13" s="1"/>
  <c r="AY101" i="13" s="1"/>
  <c r="FD101" i="13" s="1"/>
  <c r="AW124" i="13"/>
  <c r="AX124" i="13" s="1"/>
  <c r="AY124" i="13" s="1"/>
  <c r="FD124" i="13" s="1"/>
  <c r="AW122" i="13"/>
  <c r="AX122" i="13" s="1"/>
  <c r="AY122" i="13" s="1"/>
  <c r="FD122" i="13" s="1"/>
  <c r="AW134" i="13"/>
  <c r="AX134" i="13" s="1"/>
  <c r="AY134" i="13" s="1"/>
  <c r="FD134" i="13" s="1"/>
  <c r="AW111" i="13"/>
  <c r="AX111" i="13" s="1"/>
  <c r="AY111" i="13" s="1"/>
  <c r="FD111" i="13" s="1"/>
  <c r="AW136" i="13"/>
  <c r="AX136" i="13" s="1"/>
  <c r="AY136" i="13" s="1"/>
  <c r="FD136" i="13" s="1"/>
  <c r="AW37" i="13"/>
  <c r="AX37" i="13" s="1"/>
  <c r="AY37" i="13" s="1"/>
  <c r="FD37" i="13" s="1"/>
  <c r="AW26" i="13"/>
  <c r="AX26" i="13" s="1"/>
  <c r="AY26" i="13" s="1"/>
  <c r="FD26" i="13" s="1"/>
  <c r="AW44" i="13"/>
  <c r="AX44" i="13" s="1"/>
  <c r="AY44" i="13" s="1"/>
  <c r="FD44" i="13" s="1"/>
  <c r="AW52" i="13"/>
  <c r="AX52" i="13" s="1"/>
  <c r="AY52" i="13" s="1"/>
  <c r="FD52" i="13" s="1"/>
  <c r="AW41" i="13"/>
  <c r="AX41" i="13" s="1"/>
  <c r="AY41" i="13" s="1"/>
  <c r="FD41" i="13" s="1"/>
  <c r="AW62" i="13"/>
  <c r="AX62" i="13" s="1"/>
  <c r="AY62" i="13" s="1"/>
  <c r="FD62" i="13" s="1"/>
  <c r="AW59" i="13"/>
  <c r="AX59" i="13" s="1"/>
  <c r="AY59" i="13" s="1"/>
  <c r="FD59" i="13" s="1"/>
  <c r="AW88" i="13"/>
  <c r="AX88" i="13" s="1"/>
  <c r="AY88" i="13" s="1"/>
  <c r="FD88" i="13" s="1"/>
  <c r="AW91" i="13"/>
  <c r="AX91" i="13" s="1"/>
  <c r="AY91" i="13" s="1"/>
  <c r="FD91" i="13" s="1"/>
  <c r="AW58" i="13"/>
  <c r="AX58" i="13" s="1"/>
  <c r="AY58" i="13" s="1"/>
  <c r="FD58" i="13" s="1"/>
  <c r="AW115" i="13"/>
  <c r="AX115" i="13" s="1"/>
  <c r="AY115" i="13" s="1"/>
  <c r="FD115" i="13" s="1"/>
  <c r="AW129" i="13"/>
  <c r="AX129" i="13" s="1"/>
  <c r="AY129" i="13" s="1"/>
  <c r="FD129" i="13" s="1"/>
  <c r="AW133" i="13"/>
  <c r="AX133" i="13" s="1"/>
  <c r="AY133" i="13" s="1"/>
  <c r="FD133" i="13" s="1"/>
  <c r="AW96" i="13"/>
  <c r="AX96" i="13" s="1"/>
  <c r="AY96" i="13" s="1"/>
  <c r="FD96" i="13" s="1"/>
  <c r="AW128" i="13"/>
  <c r="AX128" i="13" s="1"/>
  <c r="AY128" i="13" s="1"/>
  <c r="FD128" i="13" s="1"/>
  <c r="AW84" i="13"/>
  <c r="AX84" i="13" s="1"/>
  <c r="AY84" i="13" s="1"/>
  <c r="FD84" i="13" s="1"/>
  <c r="AW103" i="13"/>
  <c r="AX103" i="13" s="1"/>
  <c r="AY103" i="13" s="1"/>
  <c r="FD103" i="13" s="1"/>
  <c r="AW50" i="13"/>
  <c r="AX50" i="13" s="1"/>
  <c r="AY50" i="13" s="1"/>
  <c r="FD50" i="13" s="1"/>
  <c r="AW65" i="13"/>
  <c r="AX65" i="13" s="1"/>
  <c r="AY65" i="13" s="1"/>
  <c r="FD65" i="13" s="1"/>
  <c r="AW27" i="13"/>
  <c r="AX27" i="13" s="1"/>
  <c r="AY27" i="13" s="1"/>
  <c r="FD27" i="13" s="1"/>
  <c r="AW68" i="13"/>
  <c r="AX68" i="13" s="1"/>
  <c r="AY68" i="13" s="1"/>
  <c r="FD68" i="13" s="1"/>
  <c r="AW74" i="13"/>
  <c r="AX74" i="13" s="1"/>
  <c r="AY74" i="13" s="1"/>
  <c r="FD74" i="13" s="1"/>
  <c r="AW93" i="13"/>
  <c r="AX93" i="13" s="1"/>
  <c r="AY93" i="13" s="1"/>
  <c r="FD93" i="13" s="1"/>
  <c r="AW86" i="13"/>
  <c r="AX86" i="13" s="1"/>
  <c r="AY86" i="13" s="1"/>
  <c r="FD86" i="13" s="1"/>
  <c r="AW98" i="13"/>
  <c r="AX98" i="13" s="1"/>
  <c r="AY98" i="13" s="1"/>
  <c r="FD98" i="13" s="1"/>
  <c r="AW75" i="13"/>
  <c r="AX75" i="13" s="1"/>
  <c r="AY75" i="13" s="1"/>
  <c r="FD75" i="13" s="1"/>
  <c r="AW118" i="13"/>
  <c r="AX118" i="13" s="1"/>
  <c r="AY118" i="13" s="1"/>
  <c r="FD118" i="13" s="1"/>
  <c r="AW126" i="13"/>
  <c r="AX126" i="13" s="1"/>
  <c r="AY126" i="13" s="1"/>
  <c r="FD126" i="13" s="1"/>
  <c r="AW87" i="13"/>
  <c r="AX87" i="13" s="1"/>
  <c r="AY87" i="13" s="1"/>
  <c r="FD87" i="13" s="1"/>
  <c r="AW125" i="13"/>
  <c r="AX125" i="13" s="1"/>
  <c r="AY125" i="13" s="1"/>
  <c r="FD125" i="13" s="1"/>
  <c r="AW33" i="13"/>
  <c r="AX33" i="13" s="1"/>
  <c r="AY33" i="13" s="1"/>
  <c r="FD33" i="13" s="1"/>
  <c r="AW25" i="13"/>
  <c r="AX25" i="13" s="1"/>
  <c r="AY25" i="13" s="1"/>
  <c r="FD25" i="13" s="1"/>
  <c r="AW40" i="13"/>
  <c r="AX40" i="13" s="1"/>
  <c r="AY40" i="13" s="1"/>
  <c r="FD40" i="13" s="1"/>
  <c r="AW55" i="13"/>
  <c r="AX55" i="13" s="1"/>
  <c r="AY55" i="13" s="1"/>
  <c r="FD55" i="13" s="1"/>
  <c r="AW47" i="13"/>
  <c r="AX47" i="13" s="1"/>
  <c r="AY47" i="13" s="1"/>
  <c r="FD47" i="13" s="1"/>
  <c r="AW53" i="13"/>
  <c r="AX53" i="13" s="1"/>
  <c r="AY53" i="13" s="1"/>
  <c r="FD53" i="13" s="1"/>
  <c r="AW67" i="13"/>
  <c r="AX67" i="13" s="1"/>
  <c r="AY67" i="13" s="1"/>
  <c r="FD67" i="13" s="1"/>
  <c r="AW77" i="13"/>
  <c r="AX77" i="13" s="1"/>
  <c r="AY77" i="13" s="1"/>
  <c r="FD77" i="13" s="1"/>
  <c r="AW70" i="13"/>
  <c r="AX70" i="13" s="1"/>
  <c r="AY70" i="13" s="1"/>
  <c r="FD70" i="13" s="1"/>
  <c r="AW117" i="13"/>
  <c r="AX117" i="13" s="1"/>
  <c r="AY117" i="13" s="1"/>
  <c r="FD117" i="13" s="1"/>
  <c r="AW29" i="13"/>
  <c r="AX29" i="13" s="1"/>
  <c r="AY29" i="13" s="1"/>
  <c r="FD29" i="13" s="1"/>
  <c r="AW38" i="13"/>
  <c r="AX38" i="13" s="1"/>
  <c r="AY38" i="13" s="1"/>
  <c r="FD38" i="13" s="1"/>
  <c r="AW48" i="13"/>
  <c r="AX48" i="13" s="1"/>
  <c r="AY48" i="13" s="1"/>
  <c r="FD48" i="13" s="1"/>
  <c r="AW82" i="13"/>
  <c r="AX82" i="13" s="1"/>
  <c r="AY82" i="13" s="1"/>
  <c r="FD82" i="13" s="1"/>
  <c r="AW80" i="13"/>
  <c r="AX80" i="13" s="1"/>
  <c r="AY80" i="13" s="1"/>
  <c r="FD80" i="13" s="1"/>
  <c r="AW104" i="13"/>
  <c r="AX104" i="13" s="1"/>
  <c r="AY104" i="13" s="1"/>
  <c r="FD104" i="13" s="1"/>
  <c r="AW92" i="13"/>
  <c r="AX92" i="13" s="1"/>
  <c r="AY92" i="13" s="1"/>
  <c r="FD92" i="13" s="1"/>
  <c r="AW102" i="13"/>
  <c r="AX102" i="13" s="1"/>
  <c r="AY102" i="13" s="1"/>
  <c r="FD102" i="13" s="1"/>
  <c r="AW137" i="13"/>
  <c r="AX137" i="13" s="1"/>
  <c r="AY137" i="13" s="1"/>
  <c r="FD137" i="13" s="1"/>
  <c r="AW119" i="13"/>
  <c r="AX119" i="13" s="1"/>
  <c r="AY119" i="13" s="1"/>
  <c r="FD119" i="13" s="1"/>
  <c r="AW99" i="13"/>
  <c r="AX99" i="13" s="1"/>
  <c r="AY99" i="13" s="1"/>
  <c r="FD99" i="13" s="1"/>
  <c r="AW95" i="13"/>
  <c r="AX95" i="13" s="1"/>
  <c r="AY95" i="13" s="1"/>
  <c r="FD95" i="13" s="1"/>
  <c r="AW32" i="13"/>
  <c r="AX32" i="13" s="1"/>
  <c r="AY32" i="13" s="1"/>
  <c r="FD32" i="13" s="1"/>
  <c r="AW30" i="13"/>
  <c r="AX30" i="13" s="1"/>
  <c r="AY30" i="13" s="1"/>
  <c r="FD30" i="13" s="1"/>
  <c r="AW45" i="13"/>
  <c r="AX45" i="13" s="1"/>
  <c r="AY45" i="13" s="1"/>
  <c r="FD45" i="13" s="1"/>
  <c r="AW20" i="13"/>
  <c r="AW49" i="13"/>
  <c r="AX49" i="13" s="1"/>
  <c r="AY49" i="13" s="1"/>
  <c r="FD49" i="13" s="1"/>
  <c r="AW72" i="13"/>
  <c r="AX72" i="13" s="1"/>
  <c r="AY72" i="13" s="1"/>
  <c r="FD72" i="13" s="1"/>
  <c r="AW64" i="13"/>
  <c r="AX64" i="13" s="1"/>
  <c r="AY64" i="13" s="1"/>
  <c r="FD64" i="13" s="1"/>
  <c r="AW78" i="13"/>
  <c r="AX78" i="13" s="1"/>
  <c r="AY78" i="13" s="1"/>
  <c r="FD78" i="13" s="1"/>
  <c r="AW69" i="13"/>
  <c r="AX69" i="13" s="1"/>
  <c r="AY69" i="13" s="1"/>
  <c r="FD69" i="13" s="1"/>
  <c r="AW63" i="13"/>
  <c r="AX63" i="13" s="1"/>
  <c r="AY63" i="13" s="1"/>
  <c r="FD63" i="13" s="1"/>
  <c r="AW89" i="13"/>
  <c r="AX89" i="13" s="1"/>
  <c r="AY89" i="13" s="1"/>
  <c r="FD89" i="13" s="1"/>
  <c r="AW106" i="13"/>
  <c r="AX106" i="13" s="1"/>
  <c r="AY106" i="13" s="1"/>
  <c r="FD106" i="13" s="1"/>
  <c r="AW116" i="13"/>
  <c r="AX116" i="13" s="1"/>
  <c r="AY116" i="13" s="1"/>
  <c r="FD116" i="13" s="1"/>
  <c r="AW19" i="13"/>
  <c r="AW46" i="13"/>
  <c r="AX46" i="13" s="1"/>
  <c r="AY46" i="13" s="1"/>
  <c r="FD46" i="13" s="1"/>
  <c r="AW120" i="13"/>
  <c r="AX120" i="13" s="1"/>
  <c r="AY120" i="13" s="1"/>
  <c r="FD120" i="13" s="1"/>
  <c r="AW131" i="13"/>
  <c r="AX131" i="13" s="1"/>
  <c r="AY131" i="13" s="1"/>
  <c r="FD131" i="13" s="1"/>
  <c r="AW28" i="13"/>
  <c r="AX28" i="13" s="1"/>
  <c r="AY28" i="13" s="1"/>
  <c r="FD28" i="13" s="1"/>
  <c r="AW57" i="13"/>
  <c r="AX57" i="13" s="1"/>
  <c r="AY57" i="13" s="1"/>
  <c r="FD57" i="13" s="1"/>
  <c r="AW22" i="13"/>
  <c r="AW76" i="13"/>
  <c r="AX76" i="13" s="1"/>
  <c r="AY76" i="13" s="1"/>
  <c r="FD76" i="13" s="1"/>
  <c r="AW105" i="13"/>
  <c r="AX105" i="13" s="1"/>
  <c r="AY105" i="13" s="1"/>
  <c r="FD105" i="13" s="1"/>
  <c r="AW43" i="13"/>
  <c r="AX43" i="13" s="1"/>
  <c r="AY43" i="13" s="1"/>
  <c r="FD43" i="13" s="1"/>
  <c r="AW34" i="13"/>
  <c r="AX34" i="13" s="1"/>
  <c r="AY34" i="13" s="1"/>
  <c r="FD34" i="13" s="1"/>
  <c r="AW56" i="13"/>
  <c r="AX56" i="13" s="1"/>
  <c r="AY56" i="13" s="1"/>
  <c r="FD56" i="13" s="1"/>
  <c r="AW21" i="13"/>
  <c r="AW54" i="13"/>
  <c r="AX54" i="13" s="1"/>
  <c r="AY54" i="13" s="1"/>
  <c r="FD54" i="13" s="1"/>
  <c r="AW85" i="13"/>
  <c r="AX85" i="13" s="1"/>
  <c r="AY85" i="13" s="1"/>
  <c r="FD85" i="13" s="1"/>
  <c r="AW79" i="13"/>
  <c r="AX79" i="13" s="1"/>
  <c r="AY79" i="13" s="1"/>
  <c r="FD79" i="13" s="1"/>
  <c r="AW97" i="13"/>
  <c r="AX97" i="13" s="1"/>
  <c r="AY97" i="13" s="1"/>
  <c r="FD97" i="13" s="1"/>
  <c r="AW36" i="13"/>
  <c r="AX36" i="13" s="1"/>
  <c r="AY36" i="13" s="1"/>
  <c r="FD36" i="13" s="1"/>
  <c r="AW66" i="13"/>
  <c r="AX66" i="13" s="1"/>
  <c r="AY66" i="13" s="1"/>
  <c r="FD66" i="13" s="1"/>
  <c r="AW71" i="13"/>
  <c r="AX71" i="13" s="1"/>
  <c r="AY71" i="13" s="1"/>
  <c r="FD71" i="13" s="1"/>
  <c r="AW100" i="13"/>
  <c r="AX100" i="13" s="1"/>
  <c r="AY100" i="13" s="1"/>
  <c r="FD100" i="13" s="1"/>
  <c r="AW130" i="13"/>
  <c r="AX130" i="13" s="1"/>
  <c r="AY130" i="13" s="1"/>
  <c r="FD130" i="13" s="1"/>
  <c r="AW94" i="13"/>
  <c r="AX94" i="13" s="1"/>
  <c r="AY94" i="13" s="1"/>
  <c r="FD94" i="13" s="1"/>
  <c r="AW109" i="13"/>
  <c r="AX109" i="13" s="1"/>
  <c r="AY109" i="13" s="1"/>
  <c r="FD109" i="13" s="1"/>
  <c r="AW132" i="13"/>
  <c r="AX132" i="13" s="1"/>
  <c r="AY132" i="13" s="1"/>
  <c r="FD132" i="13" s="1"/>
  <c r="AW113" i="13"/>
  <c r="AX113" i="13" s="1"/>
  <c r="AY113" i="13" s="1"/>
  <c r="FD113" i="13" s="1"/>
  <c r="AW60" i="13"/>
  <c r="AX60" i="13" s="1"/>
  <c r="AY60" i="13" s="1"/>
  <c r="FD60" i="13" s="1"/>
  <c r="AW108" i="13"/>
  <c r="AX108" i="13" s="1"/>
  <c r="AY108" i="13" s="1"/>
  <c r="FD108" i="13" s="1"/>
  <c r="AW135" i="13"/>
  <c r="AX135" i="13" s="1"/>
  <c r="AY135" i="13" s="1"/>
  <c r="FD135" i="13" s="1"/>
  <c r="AW127" i="13"/>
  <c r="AX127" i="13" s="1"/>
  <c r="AN47" i="13"/>
  <c r="AO47" i="13" s="1"/>
  <c r="AP47" i="13" s="1"/>
  <c r="EF47" i="13" s="1"/>
  <c r="AN52" i="13"/>
  <c r="AO52" i="13" s="1"/>
  <c r="AP52" i="13" s="1"/>
  <c r="EF52" i="13" s="1"/>
  <c r="AN62" i="13"/>
  <c r="AO62" i="13" s="1"/>
  <c r="AP62" i="13" s="1"/>
  <c r="EF62" i="13" s="1"/>
  <c r="AN73" i="13"/>
  <c r="AO73" i="13" s="1"/>
  <c r="AP73" i="13" s="1"/>
  <c r="EF73" i="13" s="1"/>
  <c r="AN103" i="13"/>
  <c r="AO103" i="13" s="1"/>
  <c r="AP103" i="13" s="1"/>
  <c r="EF103" i="13" s="1"/>
  <c r="AN121" i="13"/>
  <c r="AO121" i="13" s="1"/>
  <c r="AP121" i="13" s="1"/>
  <c r="EF121" i="13" s="1"/>
  <c r="AN108" i="13"/>
  <c r="AO108" i="13" s="1"/>
  <c r="AP108" i="13" s="1"/>
  <c r="EF108" i="13" s="1"/>
  <c r="AN112" i="13"/>
  <c r="AO112" i="13" s="1"/>
  <c r="AP112" i="13" s="1"/>
  <c r="EF112" i="13" s="1"/>
  <c r="AN127" i="13"/>
  <c r="AO127" i="13" s="1"/>
  <c r="AP127" i="13" s="1"/>
  <c r="EF127" i="13" s="1"/>
  <c r="AN133" i="13"/>
  <c r="AO133" i="13" s="1"/>
  <c r="AP133" i="13" s="1"/>
  <c r="EF133" i="13" s="1"/>
  <c r="AN102" i="13"/>
  <c r="AO102" i="13" s="1"/>
  <c r="AP102" i="13" s="1"/>
  <c r="EF102" i="13" s="1"/>
  <c r="AN107" i="13"/>
  <c r="AO107" i="13" s="1"/>
  <c r="AP107" i="13" s="1"/>
  <c r="EF107" i="13" s="1"/>
  <c r="AN78" i="13"/>
  <c r="AO78" i="13" s="1"/>
  <c r="AP78" i="13" s="1"/>
  <c r="EF78" i="13" s="1"/>
  <c r="AN96" i="13"/>
  <c r="AO96" i="13" s="1"/>
  <c r="AP96" i="13" s="1"/>
  <c r="EF96" i="13" s="1"/>
  <c r="AN116" i="13"/>
  <c r="AO116" i="13" s="1"/>
  <c r="AP116" i="13" s="1"/>
  <c r="EF116" i="13" s="1"/>
  <c r="AN92" i="13"/>
  <c r="AO92" i="13" s="1"/>
  <c r="AP92" i="13" s="1"/>
  <c r="EF92" i="13" s="1"/>
  <c r="AN80" i="13"/>
  <c r="AO80" i="13" s="1"/>
  <c r="AP80" i="13" s="1"/>
  <c r="EF80" i="13" s="1"/>
  <c r="AN117" i="13"/>
  <c r="AO117" i="13" s="1"/>
  <c r="AP117" i="13" s="1"/>
  <c r="EF117" i="13" s="1"/>
  <c r="AN131" i="13"/>
  <c r="AO131" i="13" s="1"/>
  <c r="AP131" i="13" s="1"/>
  <c r="EF131" i="13" s="1"/>
  <c r="AN53" i="13"/>
  <c r="AO53" i="13" s="1"/>
  <c r="AP53" i="13" s="1"/>
  <c r="EF53" i="13" s="1"/>
  <c r="AN42" i="13"/>
  <c r="AO42" i="13" s="1"/>
  <c r="AP42" i="13" s="1"/>
  <c r="EF42" i="13" s="1"/>
  <c r="AN26" i="13"/>
  <c r="AO26" i="13" s="1"/>
  <c r="AP26" i="13" s="1"/>
  <c r="EF26" i="13" s="1"/>
  <c r="AN54" i="13"/>
  <c r="AO54" i="13" s="1"/>
  <c r="AP54" i="13" s="1"/>
  <c r="EF54" i="13" s="1"/>
  <c r="AN77" i="13"/>
  <c r="AO77" i="13" s="1"/>
  <c r="AP77" i="13" s="1"/>
  <c r="EF77" i="13" s="1"/>
  <c r="AN39" i="13"/>
  <c r="AO39" i="13" s="1"/>
  <c r="AP39" i="13" s="1"/>
  <c r="EF39" i="13" s="1"/>
  <c r="AN83" i="13"/>
  <c r="AO83" i="13" s="1"/>
  <c r="AP83" i="13" s="1"/>
  <c r="EF83" i="13" s="1"/>
  <c r="AN89" i="13"/>
  <c r="AO89" i="13" s="1"/>
  <c r="AP89" i="13" s="1"/>
  <c r="EF89" i="13" s="1"/>
  <c r="AN95" i="13"/>
  <c r="AO95" i="13" s="1"/>
  <c r="AP95" i="13" s="1"/>
  <c r="EF95" i="13" s="1"/>
  <c r="AN110" i="13"/>
  <c r="AO110" i="13" s="1"/>
  <c r="AP110" i="13" s="1"/>
  <c r="EF110" i="13" s="1"/>
  <c r="AN98" i="13"/>
  <c r="AO98" i="13" s="1"/>
  <c r="AP98" i="13" s="1"/>
  <c r="EF98" i="13" s="1"/>
  <c r="AN81" i="13"/>
  <c r="AO81" i="13" s="1"/>
  <c r="AP81" i="13" s="1"/>
  <c r="EF81" i="13" s="1"/>
  <c r="AN118" i="13"/>
  <c r="AO118" i="13" s="1"/>
  <c r="AP118" i="13" s="1"/>
  <c r="EF118" i="13" s="1"/>
  <c r="AN132" i="13"/>
  <c r="AO132" i="13" s="1"/>
  <c r="AP132" i="13" s="1"/>
  <c r="EF132" i="13" s="1"/>
  <c r="AN114" i="13"/>
  <c r="AO114" i="13" s="1"/>
  <c r="AP114" i="13" s="1"/>
  <c r="EF114" i="13" s="1"/>
  <c r="AN23" i="13"/>
  <c r="AO23" i="13" s="1"/>
  <c r="AP23" i="13" s="1"/>
  <c r="EF23" i="13" s="1"/>
  <c r="AN40" i="13"/>
  <c r="AO40" i="13" s="1"/>
  <c r="AP40" i="13" s="1"/>
  <c r="EF40" i="13" s="1"/>
  <c r="AN55" i="13"/>
  <c r="AO55" i="13" s="1"/>
  <c r="AP55" i="13" s="1"/>
  <c r="EF55" i="13" s="1"/>
  <c r="AN43" i="13"/>
  <c r="AO43" i="13" s="1"/>
  <c r="AP43" i="13" s="1"/>
  <c r="EF43" i="13" s="1"/>
  <c r="AN44" i="13"/>
  <c r="AO44" i="13" s="1"/>
  <c r="AP44" i="13" s="1"/>
  <c r="EF44" i="13" s="1"/>
  <c r="AN46" i="13"/>
  <c r="AO46" i="13" s="1"/>
  <c r="AP46" i="13" s="1"/>
  <c r="EF46" i="13" s="1"/>
  <c r="AN56" i="13"/>
  <c r="AO56" i="13" s="1"/>
  <c r="AP56" i="13" s="1"/>
  <c r="EF56" i="13" s="1"/>
  <c r="AN71" i="13"/>
  <c r="AO71" i="13" s="1"/>
  <c r="AP71" i="13" s="1"/>
  <c r="EF71" i="13" s="1"/>
  <c r="AN50" i="13"/>
  <c r="AO50" i="13" s="1"/>
  <c r="AP50" i="13" s="1"/>
  <c r="EF50" i="13" s="1"/>
  <c r="AN74" i="13"/>
  <c r="AO74" i="13" s="1"/>
  <c r="AP74" i="13" s="1"/>
  <c r="EF74" i="13" s="1"/>
  <c r="AN64" i="13"/>
  <c r="AO64" i="13" s="1"/>
  <c r="AP64" i="13" s="1"/>
  <c r="EF64" i="13" s="1"/>
  <c r="AN59" i="13"/>
  <c r="AO59" i="13" s="1"/>
  <c r="AP59" i="13" s="1"/>
  <c r="EF59" i="13" s="1"/>
  <c r="AN100" i="13"/>
  <c r="AO100" i="13" s="1"/>
  <c r="AP100" i="13" s="1"/>
  <c r="EF100" i="13" s="1"/>
  <c r="AN65" i="13"/>
  <c r="AO65" i="13" s="1"/>
  <c r="AP65" i="13" s="1"/>
  <c r="EF65" i="13" s="1"/>
  <c r="AN123" i="13"/>
  <c r="AO123" i="13" s="1"/>
  <c r="AP123" i="13" s="1"/>
  <c r="EF123" i="13" s="1"/>
  <c r="AN41" i="13"/>
  <c r="AO41" i="13" s="1"/>
  <c r="AP41" i="13" s="1"/>
  <c r="EF41" i="13" s="1"/>
  <c r="AN20" i="13"/>
  <c r="AN45" i="13"/>
  <c r="AO45" i="13" s="1"/>
  <c r="AP45" i="13" s="1"/>
  <c r="EF45" i="13" s="1"/>
  <c r="AN34" i="13"/>
  <c r="AO34" i="13" s="1"/>
  <c r="AP34" i="13" s="1"/>
  <c r="EF34" i="13" s="1"/>
  <c r="AN75" i="13"/>
  <c r="AO75" i="13" s="1"/>
  <c r="AP75" i="13" s="1"/>
  <c r="EF75" i="13" s="1"/>
  <c r="AN66" i="13"/>
  <c r="AO66" i="13" s="1"/>
  <c r="AP66" i="13" s="1"/>
  <c r="EF66" i="13" s="1"/>
  <c r="AN101" i="13"/>
  <c r="AO101" i="13" s="1"/>
  <c r="AP101" i="13" s="1"/>
  <c r="EF101" i="13" s="1"/>
  <c r="AN24" i="13"/>
  <c r="AO24" i="13" s="1"/>
  <c r="AP24" i="13" s="1"/>
  <c r="EF24" i="13" s="1"/>
  <c r="AN21" i="13"/>
  <c r="AN36" i="13"/>
  <c r="AO36" i="13" s="1"/>
  <c r="AP36" i="13" s="1"/>
  <c r="EF36" i="13" s="1"/>
  <c r="AN48" i="13"/>
  <c r="AO48" i="13" s="1"/>
  <c r="AP48" i="13" s="1"/>
  <c r="EF48" i="13" s="1"/>
  <c r="AN29" i="13"/>
  <c r="AO29" i="13" s="1"/>
  <c r="AP29" i="13" s="1"/>
  <c r="EF29" i="13" s="1"/>
  <c r="AN49" i="13"/>
  <c r="AO49" i="13" s="1"/>
  <c r="AP49" i="13" s="1"/>
  <c r="EF49" i="13" s="1"/>
  <c r="AN27" i="13"/>
  <c r="AO27" i="13" s="1"/>
  <c r="AP27" i="13" s="1"/>
  <c r="EF27" i="13" s="1"/>
  <c r="AN35" i="13"/>
  <c r="AO35" i="13" s="1"/>
  <c r="AP35" i="13" s="1"/>
  <c r="EF35" i="13" s="1"/>
  <c r="AN91" i="13"/>
  <c r="AO91" i="13" s="1"/>
  <c r="AP91" i="13" s="1"/>
  <c r="EF91" i="13" s="1"/>
  <c r="AN60" i="13"/>
  <c r="AO60" i="13" s="1"/>
  <c r="AP60" i="13" s="1"/>
  <c r="EF60" i="13" s="1"/>
  <c r="AN28" i="13"/>
  <c r="AO28" i="13" s="1"/>
  <c r="AP28" i="13" s="1"/>
  <c r="EF28" i="13" s="1"/>
  <c r="AN86" i="13"/>
  <c r="AO86" i="13" s="1"/>
  <c r="AP86" i="13" s="1"/>
  <c r="EF86" i="13" s="1"/>
  <c r="AN88" i="13"/>
  <c r="AO88" i="13" s="1"/>
  <c r="AP88" i="13" s="1"/>
  <c r="EF88" i="13" s="1"/>
  <c r="AN93" i="13"/>
  <c r="AO93" i="13" s="1"/>
  <c r="AP93" i="13" s="1"/>
  <c r="EF93" i="13" s="1"/>
  <c r="AN134" i="13"/>
  <c r="AO134" i="13" s="1"/>
  <c r="AP134" i="13" s="1"/>
  <c r="EF134" i="13" s="1"/>
  <c r="AN128" i="13"/>
  <c r="AO128" i="13" s="1"/>
  <c r="AP128" i="13" s="1"/>
  <c r="EF128" i="13" s="1"/>
  <c r="AN104" i="13"/>
  <c r="AO104" i="13" s="1"/>
  <c r="AP104" i="13" s="1"/>
  <c r="EF104" i="13" s="1"/>
  <c r="AN125" i="13"/>
  <c r="AO125" i="13" s="1"/>
  <c r="AP125" i="13" s="1"/>
  <c r="EF125" i="13" s="1"/>
  <c r="AN135" i="13"/>
  <c r="AO135" i="13" s="1"/>
  <c r="AP135" i="13" s="1"/>
  <c r="EF135" i="13" s="1"/>
  <c r="AN115" i="13"/>
  <c r="AO115" i="13" s="1"/>
  <c r="AP115" i="13" s="1"/>
  <c r="EF115" i="13" s="1"/>
  <c r="AN57" i="13"/>
  <c r="AO57" i="13" s="1"/>
  <c r="AP57" i="13" s="1"/>
  <c r="EF57" i="13" s="1"/>
  <c r="AN63" i="13"/>
  <c r="AO63" i="13" s="1"/>
  <c r="AP63" i="13" s="1"/>
  <c r="EF63" i="13" s="1"/>
  <c r="AN97" i="13"/>
  <c r="AO97" i="13" s="1"/>
  <c r="AP97" i="13" s="1"/>
  <c r="EF97" i="13" s="1"/>
  <c r="AN106" i="13"/>
  <c r="AO106" i="13" s="1"/>
  <c r="AP106" i="13" s="1"/>
  <c r="EF106" i="13" s="1"/>
  <c r="AN58" i="13"/>
  <c r="AO58" i="13" s="1"/>
  <c r="AP58" i="13" s="1"/>
  <c r="EF58" i="13" s="1"/>
  <c r="AN22" i="13"/>
  <c r="AN37" i="13"/>
  <c r="AO37" i="13" s="1"/>
  <c r="AP37" i="13" s="1"/>
  <c r="EF37" i="13" s="1"/>
  <c r="AN31" i="13"/>
  <c r="AO31" i="13" s="1"/>
  <c r="AP31" i="13" s="1"/>
  <c r="EF31" i="13" s="1"/>
  <c r="AN30" i="13"/>
  <c r="AO30" i="13" s="1"/>
  <c r="AP30" i="13" s="1"/>
  <c r="EF30" i="13" s="1"/>
  <c r="AN68" i="13"/>
  <c r="AO68" i="13" s="1"/>
  <c r="AP68" i="13" s="1"/>
  <c r="EF68" i="13" s="1"/>
  <c r="AN38" i="13"/>
  <c r="AO38" i="13" s="1"/>
  <c r="AP38" i="13" s="1"/>
  <c r="EF38" i="13" s="1"/>
  <c r="AN61" i="13"/>
  <c r="AO61" i="13" s="1"/>
  <c r="AP61" i="13" s="1"/>
  <c r="EF61" i="13" s="1"/>
  <c r="AN51" i="13"/>
  <c r="AO51" i="13" s="1"/>
  <c r="AP51" i="13" s="1"/>
  <c r="EF51" i="13" s="1"/>
  <c r="AN67" i="13"/>
  <c r="AO67" i="13" s="1"/>
  <c r="AP67" i="13" s="1"/>
  <c r="EF67" i="13" s="1"/>
  <c r="AN119" i="13"/>
  <c r="AO119" i="13" s="1"/>
  <c r="AP119" i="13" s="1"/>
  <c r="EF119" i="13" s="1"/>
  <c r="AN87" i="13"/>
  <c r="AO87" i="13" s="1"/>
  <c r="AP87" i="13" s="1"/>
  <c r="EF87" i="13" s="1"/>
  <c r="AN94" i="13"/>
  <c r="AO94" i="13" s="1"/>
  <c r="AP94" i="13" s="1"/>
  <c r="EF94" i="13" s="1"/>
  <c r="AN105" i="13"/>
  <c r="AO105" i="13" s="1"/>
  <c r="AP105" i="13" s="1"/>
  <c r="EF105" i="13" s="1"/>
  <c r="AN136" i="13"/>
  <c r="AO136" i="13" s="1"/>
  <c r="AP136" i="13" s="1"/>
  <c r="EF136" i="13" s="1"/>
  <c r="AN129" i="13"/>
  <c r="AO129" i="13" s="1"/>
  <c r="AP129" i="13" s="1"/>
  <c r="EF129" i="13" s="1"/>
  <c r="AN113" i="13"/>
  <c r="AO113" i="13" s="1"/>
  <c r="AP113" i="13" s="1"/>
  <c r="EF113" i="13" s="1"/>
  <c r="AN90" i="13"/>
  <c r="AO90" i="13" s="1"/>
  <c r="AP90" i="13" s="1"/>
  <c r="EF90" i="13" s="1"/>
  <c r="AN126" i="13"/>
  <c r="AO126" i="13" s="1"/>
  <c r="AP126" i="13" s="1"/>
  <c r="EF126" i="13" s="1"/>
  <c r="AN124" i="13"/>
  <c r="AO124" i="13" s="1"/>
  <c r="AP124" i="13" s="1"/>
  <c r="EF124" i="13" s="1"/>
  <c r="AN137" i="13"/>
  <c r="AO137" i="13" s="1"/>
  <c r="AP137" i="13" s="1"/>
  <c r="EF137" i="13" s="1"/>
  <c r="AN19" i="13"/>
  <c r="AN84" i="13"/>
  <c r="AO84" i="13" s="1"/>
  <c r="AP84" i="13" s="1"/>
  <c r="EF84" i="13" s="1"/>
  <c r="AN70" i="13"/>
  <c r="AO70" i="13" s="1"/>
  <c r="AP70" i="13" s="1"/>
  <c r="EF70" i="13" s="1"/>
  <c r="AN72" i="13"/>
  <c r="AO72" i="13" s="1"/>
  <c r="AP72" i="13" s="1"/>
  <c r="EF72" i="13" s="1"/>
  <c r="AN32" i="13"/>
  <c r="AO32" i="13" s="1"/>
  <c r="AP32" i="13" s="1"/>
  <c r="EF32" i="13" s="1"/>
  <c r="AN69" i="13"/>
  <c r="AO69" i="13" s="1"/>
  <c r="AP69" i="13" s="1"/>
  <c r="EF69" i="13" s="1"/>
  <c r="AN76" i="13"/>
  <c r="AO76" i="13" s="1"/>
  <c r="AP76" i="13" s="1"/>
  <c r="EF76" i="13" s="1"/>
  <c r="AN79" i="13"/>
  <c r="AO79" i="13" s="1"/>
  <c r="AP79" i="13" s="1"/>
  <c r="EF79" i="13" s="1"/>
  <c r="AN109" i="13"/>
  <c r="AO109" i="13" s="1"/>
  <c r="AP109" i="13" s="1"/>
  <c r="EF109" i="13" s="1"/>
  <c r="AN130" i="13"/>
  <c r="AO130" i="13" s="1"/>
  <c r="AP130" i="13" s="1"/>
  <c r="EF130" i="13" s="1"/>
  <c r="AN33" i="13"/>
  <c r="AO33" i="13" s="1"/>
  <c r="AP33" i="13" s="1"/>
  <c r="EF33" i="13" s="1"/>
  <c r="AN25" i="13"/>
  <c r="AO25" i="13" s="1"/>
  <c r="AP25" i="13" s="1"/>
  <c r="EF25" i="13" s="1"/>
  <c r="AN82" i="13"/>
  <c r="AO82" i="13" s="1"/>
  <c r="AP82" i="13" s="1"/>
  <c r="EF82" i="13" s="1"/>
  <c r="AN122" i="13"/>
  <c r="AO122" i="13" s="1"/>
  <c r="AP122" i="13" s="1"/>
  <c r="EF122" i="13" s="1"/>
  <c r="AN111" i="13"/>
  <c r="AO111" i="13" s="1"/>
  <c r="AP111" i="13" s="1"/>
  <c r="EF111" i="13" s="1"/>
  <c r="AN120" i="13"/>
  <c r="AO120" i="13" s="1"/>
  <c r="AP120" i="13" s="1"/>
  <c r="EF120" i="13" s="1"/>
  <c r="AN85" i="13"/>
  <c r="AO85" i="13" s="1"/>
  <c r="AP85" i="13" s="1"/>
  <c r="EF85" i="13" s="1"/>
  <c r="AN99" i="13"/>
  <c r="AO99" i="13" s="1"/>
  <c r="AP99" i="13" s="1"/>
  <c r="EF99" i="13" s="1"/>
  <c r="BF25" i="13"/>
  <c r="BG25" i="13" s="1"/>
  <c r="BH25" i="13" s="1"/>
  <c r="GB25" i="13" s="1"/>
  <c r="BF28" i="13"/>
  <c r="BG28" i="13" s="1"/>
  <c r="BH28" i="13" s="1"/>
  <c r="GB28" i="13" s="1"/>
  <c r="BF44" i="13"/>
  <c r="BG44" i="13" s="1"/>
  <c r="BF50" i="13"/>
  <c r="BG50" i="13" s="1"/>
  <c r="BH50" i="13" s="1"/>
  <c r="GB50" i="13" s="1"/>
  <c r="BF21" i="13"/>
  <c r="BF77" i="13"/>
  <c r="BG77" i="13" s="1"/>
  <c r="BF64" i="13"/>
  <c r="BG64" i="13" s="1"/>
  <c r="BF82" i="13"/>
  <c r="BG82" i="13" s="1"/>
  <c r="BH82" i="13" s="1"/>
  <c r="GB82" i="13" s="1"/>
  <c r="BF117" i="13"/>
  <c r="BG117" i="13" s="1"/>
  <c r="BH117" i="13" s="1"/>
  <c r="GB117" i="13" s="1"/>
  <c r="BF80" i="13"/>
  <c r="BG80" i="13" s="1"/>
  <c r="BH80" i="13" s="1"/>
  <c r="GB80" i="13" s="1"/>
  <c r="BF106" i="13"/>
  <c r="BG106" i="13" s="1"/>
  <c r="BH106" i="13" s="1"/>
  <c r="GB106" i="13" s="1"/>
  <c r="BF108" i="13"/>
  <c r="BG108" i="13" s="1"/>
  <c r="BH108" i="13" s="1"/>
  <c r="GB108" i="13" s="1"/>
  <c r="BF97" i="13"/>
  <c r="BG97" i="13" s="1"/>
  <c r="BH97" i="13" s="1"/>
  <c r="GB97" i="13" s="1"/>
  <c r="BF103" i="13"/>
  <c r="BG103" i="13" s="1"/>
  <c r="BH103" i="13" s="1"/>
  <c r="GB103" i="13" s="1"/>
  <c r="BF99" i="13"/>
  <c r="BG99" i="13" s="1"/>
  <c r="BH99" i="13" s="1"/>
  <c r="GB99" i="13" s="1"/>
  <c r="BF133" i="13"/>
  <c r="BG133" i="13" s="1"/>
  <c r="BH133" i="13" s="1"/>
  <c r="GB133" i="13" s="1"/>
  <c r="BF88" i="13"/>
  <c r="BG88" i="13" s="1"/>
  <c r="BF124" i="13"/>
  <c r="BG124" i="13" s="1"/>
  <c r="BF113" i="13"/>
  <c r="BG113" i="13" s="1"/>
  <c r="BH113" i="13" s="1"/>
  <c r="GB113" i="13" s="1"/>
  <c r="BF135" i="13"/>
  <c r="BG135" i="13" s="1"/>
  <c r="BF46" i="13"/>
  <c r="BG46" i="13" s="1"/>
  <c r="BF54" i="13"/>
  <c r="BG54" i="13" s="1"/>
  <c r="BH54" i="13" s="1"/>
  <c r="GB54" i="13" s="1"/>
  <c r="BF35" i="13"/>
  <c r="BG35" i="13" s="1"/>
  <c r="BH35" i="13" s="1"/>
  <c r="GB35" i="13" s="1"/>
  <c r="BF58" i="13"/>
  <c r="BG58" i="13" s="1"/>
  <c r="BH58" i="13" s="1"/>
  <c r="GB58" i="13" s="1"/>
  <c r="BF86" i="13"/>
  <c r="BG86" i="13" s="1"/>
  <c r="BF68" i="13"/>
  <c r="BG68" i="13" s="1"/>
  <c r="BH68" i="13" s="1"/>
  <c r="GB68" i="13" s="1"/>
  <c r="BF84" i="13"/>
  <c r="BG84" i="13" s="1"/>
  <c r="BH84" i="13" s="1"/>
  <c r="GB84" i="13" s="1"/>
  <c r="BF93" i="13"/>
  <c r="BG93" i="13" s="1"/>
  <c r="BF115" i="13"/>
  <c r="BG115" i="13" s="1"/>
  <c r="BF123" i="13"/>
  <c r="BG123" i="13" s="1"/>
  <c r="BH123" i="13" s="1"/>
  <c r="GB123" i="13" s="1"/>
  <c r="BF118" i="13"/>
  <c r="BG118" i="13" s="1"/>
  <c r="BH118" i="13" s="1"/>
  <c r="GB118" i="13" s="1"/>
  <c r="BF126" i="13"/>
  <c r="BG126" i="13" s="1"/>
  <c r="BF69" i="13"/>
  <c r="BG69" i="13" s="1"/>
  <c r="BH69" i="13" s="1"/>
  <c r="GB69" i="13" s="1"/>
  <c r="BF76" i="13"/>
  <c r="BG76" i="13" s="1"/>
  <c r="BH76" i="13" s="1"/>
  <c r="GB76" i="13" s="1"/>
  <c r="BF59" i="13"/>
  <c r="BG59" i="13" s="1"/>
  <c r="BH59" i="13" s="1"/>
  <c r="GB59" i="13" s="1"/>
  <c r="BF47" i="13"/>
  <c r="BG47" i="13" s="1"/>
  <c r="BH47" i="13" s="1"/>
  <c r="GB47" i="13" s="1"/>
  <c r="BF26" i="13"/>
  <c r="BG26" i="13" s="1"/>
  <c r="BH26" i="13" s="1"/>
  <c r="GB26" i="13" s="1"/>
  <c r="BF78" i="13"/>
  <c r="BG78" i="13" s="1"/>
  <c r="BH78" i="13" s="1"/>
  <c r="GB78" i="13" s="1"/>
  <c r="BF56" i="13"/>
  <c r="BG56" i="13" s="1"/>
  <c r="BH56" i="13" s="1"/>
  <c r="GB56" i="13" s="1"/>
  <c r="BF74" i="13"/>
  <c r="BG74" i="13" s="1"/>
  <c r="BH74" i="13" s="1"/>
  <c r="GB74" i="13" s="1"/>
  <c r="BF61" i="13"/>
  <c r="BG61" i="13" s="1"/>
  <c r="BF71" i="13"/>
  <c r="BG71" i="13" s="1"/>
  <c r="BH71" i="13" s="1"/>
  <c r="GB71" i="13" s="1"/>
  <c r="BF57" i="13"/>
  <c r="BG57" i="13" s="1"/>
  <c r="BH57" i="13" s="1"/>
  <c r="GB57" i="13" s="1"/>
  <c r="BF120" i="13"/>
  <c r="BG120" i="13" s="1"/>
  <c r="BH120" i="13" s="1"/>
  <c r="GB120" i="13" s="1"/>
  <c r="BF91" i="13"/>
  <c r="BG91" i="13" s="1"/>
  <c r="BH91" i="13" s="1"/>
  <c r="GB91" i="13" s="1"/>
  <c r="BF72" i="13"/>
  <c r="BG72" i="13" s="1"/>
  <c r="BH72" i="13" s="1"/>
  <c r="GB72" i="13" s="1"/>
  <c r="BF112" i="13"/>
  <c r="BG112" i="13" s="1"/>
  <c r="BH112" i="13" s="1"/>
  <c r="GB112" i="13" s="1"/>
  <c r="BF128" i="13"/>
  <c r="BG128" i="13" s="1"/>
  <c r="BH128" i="13" s="1"/>
  <c r="GB128" i="13" s="1"/>
  <c r="BF125" i="13"/>
  <c r="BG125" i="13" s="1"/>
  <c r="BH125" i="13" s="1"/>
  <c r="GB125" i="13" s="1"/>
  <c r="BF136" i="13"/>
  <c r="BG136" i="13" s="1"/>
  <c r="BH136" i="13" s="1"/>
  <c r="GB136" i="13" s="1"/>
  <c r="BF109" i="13"/>
  <c r="BG109" i="13" s="1"/>
  <c r="BH109" i="13" s="1"/>
  <c r="GB109" i="13" s="1"/>
  <c r="BF51" i="13"/>
  <c r="BG51" i="13" s="1"/>
  <c r="BH51" i="13" s="1"/>
  <c r="GB51" i="13" s="1"/>
  <c r="BF20" i="13"/>
  <c r="BF39" i="13"/>
  <c r="BG39" i="13" s="1"/>
  <c r="BF55" i="13"/>
  <c r="BG55" i="13" s="1"/>
  <c r="BH55" i="13" s="1"/>
  <c r="GB55" i="13" s="1"/>
  <c r="BF36" i="13"/>
  <c r="BG36" i="13" s="1"/>
  <c r="BH36" i="13" s="1"/>
  <c r="GB36" i="13" s="1"/>
  <c r="BF48" i="13"/>
  <c r="BG48" i="13" s="1"/>
  <c r="BH48" i="13" s="1"/>
  <c r="GB48" i="13" s="1"/>
  <c r="BF27" i="13"/>
  <c r="BG27" i="13" s="1"/>
  <c r="BH27" i="13" s="1"/>
  <c r="GB27" i="13" s="1"/>
  <c r="BF30" i="13"/>
  <c r="BG30" i="13" s="1"/>
  <c r="BH30" i="13" s="1"/>
  <c r="GB30" i="13" s="1"/>
  <c r="BF75" i="13"/>
  <c r="BG75" i="13" s="1"/>
  <c r="BF32" i="13"/>
  <c r="BG32" i="13" s="1"/>
  <c r="BH32" i="13" s="1"/>
  <c r="GB32" i="13" s="1"/>
  <c r="BF95" i="13"/>
  <c r="BG95" i="13" s="1"/>
  <c r="BH95" i="13" s="1"/>
  <c r="GB95" i="13" s="1"/>
  <c r="BF101" i="13"/>
  <c r="BG101" i="13" s="1"/>
  <c r="BH101" i="13" s="1"/>
  <c r="GB101" i="13" s="1"/>
  <c r="BF90" i="13"/>
  <c r="BG90" i="13" s="1"/>
  <c r="BF83" i="13"/>
  <c r="BG83" i="13" s="1"/>
  <c r="BH83" i="13" s="1"/>
  <c r="GB83" i="13" s="1"/>
  <c r="BF122" i="13"/>
  <c r="BG122" i="13" s="1"/>
  <c r="BH122" i="13" s="1"/>
  <c r="GB122" i="13" s="1"/>
  <c r="BF110" i="13"/>
  <c r="BG110" i="13" s="1"/>
  <c r="BH110" i="13" s="1"/>
  <c r="GB110" i="13" s="1"/>
  <c r="BF130" i="13"/>
  <c r="BG130" i="13" s="1"/>
  <c r="BH130" i="13" s="1"/>
  <c r="GB130" i="13" s="1"/>
  <c r="BF19" i="13"/>
  <c r="BF67" i="13"/>
  <c r="BG67" i="13" s="1"/>
  <c r="BH67" i="13" s="1"/>
  <c r="GB67" i="13" s="1"/>
  <c r="BF52" i="13"/>
  <c r="BG52" i="13" s="1"/>
  <c r="BF37" i="13"/>
  <c r="BG37" i="13" s="1"/>
  <c r="BF31" i="13"/>
  <c r="BG31" i="13" s="1"/>
  <c r="BH31" i="13" s="1"/>
  <c r="GB31" i="13" s="1"/>
  <c r="BF60" i="13"/>
  <c r="BG60" i="13" s="1"/>
  <c r="BH60" i="13" s="1"/>
  <c r="GB60" i="13" s="1"/>
  <c r="BF62" i="13"/>
  <c r="BG62" i="13" s="1"/>
  <c r="BH62" i="13" s="1"/>
  <c r="GB62" i="13" s="1"/>
  <c r="BF114" i="13"/>
  <c r="BG114" i="13" s="1"/>
  <c r="BH114" i="13" s="1"/>
  <c r="GB114" i="13" s="1"/>
  <c r="BF102" i="13"/>
  <c r="BG102" i="13" s="1"/>
  <c r="BH102" i="13" s="1"/>
  <c r="GB102" i="13" s="1"/>
  <c r="BF94" i="13"/>
  <c r="BG94" i="13" s="1"/>
  <c r="BH94" i="13" s="1"/>
  <c r="GB94" i="13" s="1"/>
  <c r="BF98" i="13"/>
  <c r="BG98" i="13" s="1"/>
  <c r="BH98" i="13" s="1"/>
  <c r="GB98" i="13" s="1"/>
  <c r="BF42" i="13"/>
  <c r="BG42" i="13" s="1"/>
  <c r="BH42" i="13" s="1"/>
  <c r="GB42" i="13" s="1"/>
  <c r="BF132" i="13"/>
  <c r="BG132" i="13" s="1"/>
  <c r="BH132" i="13" s="1"/>
  <c r="GB132" i="13" s="1"/>
  <c r="BF119" i="13"/>
  <c r="BG119" i="13" s="1"/>
  <c r="BF33" i="13"/>
  <c r="BG33" i="13" s="1"/>
  <c r="BH33" i="13" s="1"/>
  <c r="GB33" i="13" s="1"/>
  <c r="BF40" i="13"/>
  <c r="BG40" i="13" s="1"/>
  <c r="BF53" i="13"/>
  <c r="BG53" i="13" s="1"/>
  <c r="BH53" i="13" s="1"/>
  <c r="GB53" i="13" s="1"/>
  <c r="BF22" i="13"/>
  <c r="BF41" i="13"/>
  <c r="BG41" i="13" s="1"/>
  <c r="BF29" i="13"/>
  <c r="BG29" i="13" s="1"/>
  <c r="BH29" i="13" s="1"/>
  <c r="GB29" i="13" s="1"/>
  <c r="BF49" i="13"/>
  <c r="BG49" i="13" s="1"/>
  <c r="BF65" i="13"/>
  <c r="BG65" i="13" s="1"/>
  <c r="BF89" i="13"/>
  <c r="BG89" i="13" s="1"/>
  <c r="BF70" i="13"/>
  <c r="BG70" i="13" s="1"/>
  <c r="BF63" i="13"/>
  <c r="BG63" i="13" s="1"/>
  <c r="BH63" i="13" s="1"/>
  <c r="GB63" i="13" s="1"/>
  <c r="BF73" i="13"/>
  <c r="BG73" i="13" s="1"/>
  <c r="BH73" i="13" s="1"/>
  <c r="GB73" i="13" s="1"/>
  <c r="BF79" i="13"/>
  <c r="BG79" i="13" s="1"/>
  <c r="BF104" i="13"/>
  <c r="BG104" i="13" s="1"/>
  <c r="BF121" i="13"/>
  <c r="BG121" i="13" s="1"/>
  <c r="BH121" i="13" s="1"/>
  <c r="GB121" i="13" s="1"/>
  <c r="BF100" i="13"/>
  <c r="BG100" i="13" s="1"/>
  <c r="BH100" i="13" s="1"/>
  <c r="GB100" i="13" s="1"/>
  <c r="BF111" i="13"/>
  <c r="BG111" i="13" s="1"/>
  <c r="BH111" i="13" s="1"/>
  <c r="GB111" i="13" s="1"/>
  <c r="BF137" i="13"/>
  <c r="BG137" i="13" s="1"/>
  <c r="BH137" i="13" s="1"/>
  <c r="GB137" i="13" s="1"/>
  <c r="BF34" i="13"/>
  <c r="BG34" i="13" s="1"/>
  <c r="BH34" i="13" s="1"/>
  <c r="GB34" i="13" s="1"/>
  <c r="BF105" i="13"/>
  <c r="BG105" i="13" s="1"/>
  <c r="BH105" i="13" s="1"/>
  <c r="GB105" i="13" s="1"/>
  <c r="BF129" i="13"/>
  <c r="BG129" i="13" s="1"/>
  <c r="BH129" i="13" s="1"/>
  <c r="GB129" i="13" s="1"/>
  <c r="BF23" i="13"/>
  <c r="BG23" i="13" s="1"/>
  <c r="BH23" i="13" s="1"/>
  <c r="GB23" i="13" s="1"/>
  <c r="BF38" i="13"/>
  <c r="BG38" i="13" s="1"/>
  <c r="BH38" i="13" s="1"/>
  <c r="GB38" i="13" s="1"/>
  <c r="BF43" i="13"/>
  <c r="BG43" i="13" s="1"/>
  <c r="BH43" i="13" s="1"/>
  <c r="GB43" i="13" s="1"/>
  <c r="BF66" i="13"/>
  <c r="BG66" i="13" s="1"/>
  <c r="BF92" i="13"/>
  <c r="BG92" i="13" s="1"/>
  <c r="BH92" i="13" s="1"/>
  <c r="GB92" i="13" s="1"/>
  <c r="BF85" i="13"/>
  <c r="BG85" i="13" s="1"/>
  <c r="BH85" i="13" s="1"/>
  <c r="GB85" i="13" s="1"/>
  <c r="BF81" i="13"/>
  <c r="BG81" i="13" s="1"/>
  <c r="BH81" i="13" s="1"/>
  <c r="GB81" i="13" s="1"/>
  <c r="BF96" i="13"/>
  <c r="BG96" i="13" s="1"/>
  <c r="BF107" i="13"/>
  <c r="BG107" i="13" s="1"/>
  <c r="BH107" i="13" s="1"/>
  <c r="GB107" i="13" s="1"/>
  <c r="BF116" i="13"/>
  <c r="BG116" i="13" s="1"/>
  <c r="BH116" i="13" s="1"/>
  <c r="GB116" i="13" s="1"/>
  <c r="BF127" i="13"/>
  <c r="BG127" i="13" s="1"/>
  <c r="BF131" i="13"/>
  <c r="BG131" i="13" s="1"/>
  <c r="BH131" i="13" s="1"/>
  <c r="GB131" i="13" s="1"/>
  <c r="BF24" i="13"/>
  <c r="BG24" i="13" s="1"/>
  <c r="BH24" i="13" s="1"/>
  <c r="GB24" i="13" s="1"/>
  <c r="BF45" i="13"/>
  <c r="BG45" i="13" s="1"/>
  <c r="BH45" i="13" s="1"/>
  <c r="GB45" i="13" s="1"/>
  <c r="BF87" i="13"/>
  <c r="BG87" i="13" s="1"/>
  <c r="BH87" i="13" s="1"/>
  <c r="GB87" i="13" s="1"/>
  <c r="BF134" i="13"/>
  <c r="BG134" i="13" s="1"/>
  <c r="BH134" i="13" s="1"/>
  <c r="GB134" i="13" s="1"/>
  <c r="AZ17" i="13"/>
  <c r="BC35" i="13"/>
  <c r="BD35" i="13" s="1"/>
  <c r="BE35" i="13" s="1"/>
  <c r="FT35" i="13" s="1"/>
  <c r="BC46" i="13"/>
  <c r="BD46" i="13" s="1"/>
  <c r="BC43" i="13"/>
  <c r="BD43" i="13" s="1"/>
  <c r="BE43" i="13" s="1"/>
  <c r="FT43" i="13" s="1"/>
  <c r="BC52" i="13"/>
  <c r="BD52" i="13" s="1"/>
  <c r="BE52" i="13" s="1"/>
  <c r="FT52" i="13" s="1"/>
  <c r="BC67" i="13"/>
  <c r="BD67" i="13" s="1"/>
  <c r="BE67" i="13" s="1"/>
  <c r="FT67" i="13" s="1"/>
  <c r="BC91" i="13"/>
  <c r="BD91" i="13" s="1"/>
  <c r="BE91" i="13" s="1"/>
  <c r="FT91" i="13" s="1"/>
  <c r="BC56" i="13"/>
  <c r="BD56" i="13" s="1"/>
  <c r="BE56" i="13" s="1"/>
  <c r="FT56" i="13" s="1"/>
  <c r="BC73" i="13"/>
  <c r="BD73" i="13" s="1"/>
  <c r="BC86" i="13"/>
  <c r="BD86" i="13" s="1"/>
  <c r="BE86" i="13" s="1"/>
  <c r="FT86" i="13" s="1"/>
  <c r="BC90" i="13"/>
  <c r="BD90" i="13" s="1"/>
  <c r="BE90" i="13" s="1"/>
  <c r="FT90" i="13" s="1"/>
  <c r="BC93" i="13"/>
  <c r="BD93" i="13" s="1"/>
  <c r="BE93" i="13" s="1"/>
  <c r="FT93" i="13" s="1"/>
  <c r="BC106" i="13"/>
  <c r="BD106" i="13" s="1"/>
  <c r="BC100" i="13"/>
  <c r="BD100" i="13" s="1"/>
  <c r="BE100" i="13" s="1"/>
  <c r="FT100" i="13" s="1"/>
  <c r="BC131" i="13"/>
  <c r="BD131" i="13" s="1"/>
  <c r="BE131" i="13" s="1"/>
  <c r="FT131" i="13" s="1"/>
  <c r="BC122" i="13"/>
  <c r="BD122" i="13" s="1"/>
  <c r="BE122" i="13" s="1"/>
  <c r="FT122" i="13" s="1"/>
  <c r="BC133" i="13"/>
  <c r="BD133" i="13" s="1"/>
  <c r="BE133" i="13" s="1"/>
  <c r="FT133" i="13" s="1"/>
  <c r="BC136" i="13"/>
  <c r="BD136" i="13" s="1"/>
  <c r="BE136" i="13" s="1"/>
  <c r="FT136" i="13" s="1"/>
  <c r="BC120" i="13"/>
  <c r="BD120" i="13" s="1"/>
  <c r="BE120" i="13" s="1"/>
  <c r="FT120" i="13" s="1"/>
  <c r="BC54" i="13"/>
  <c r="BD54" i="13" s="1"/>
  <c r="BC72" i="13"/>
  <c r="BD72" i="13" s="1"/>
  <c r="BC55" i="13"/>
  <c r="BD55" i="13" s="1"/>
  <c r="BE55" i="13" s="1"/>
  <c r="FT55" i="13" s="1"/>
  <c r="BC28" i="13"/>
  <c r="BD28" i="13" s="1"/>
  <c r="BC26" i="13"/>
  <c r="BD26" i="13" s="1"/>
  <c r="BE26" i="13" s="1"/>
  <c r="FT26" i="13" s="1"/>
  <c r="BC45" i="13"/>
  <c r="BD45" i="13" s="1"/>
  <c r="BE45" i="13" s="1"/>
  <c r="FT45" i="13" s="1"/>
  <c r="BC92" i="13"/>
  <c r="BD92" i="13" s="1"/>
  <c r="BE92" i="13" s="1"/>
  <c r="FT92" i="13" s="1"/>
  <c r="BC58" i="13"/>
  <c r="BD58" i="13" s="1"/>
  <c r="BE58" i="13" s="1"/>
  <c r="FT58" i="13" s="1"/>
  <c r="BC70" i="13"/>
  <c r="BD70" i="13" s="1"/>
  <c r="BE70" i="13" s="1"/>
  <c r="FT70" i="13" s="1"/>
  <c r="BC63" i="13"/>
  <c r="BD63" i="13" s="1"/>
  <c r="BE63" i="13" s="1"/>
  <c r="FT63" i="13" s="1"/>
  <c r="BC82" i="13"/>
  <c r="BD82" i="13" s="1"/>
  <c r="BE82" i="13" s="1"/>
  <c r="FT82" i="13" s="1"/>
  <c r="BC79" i="13"/>
  <c r="BD79" i="13" s="1"/>
  <c r="BE79" i="13" s="1"/>
  <c r="FT79" i="13" s="1"/>
  <c r="BC87" i="13"/>
  <c r="BD87" i="13" s="1"/>
  <c r="BE87" i="13" s="1"/>
  <c r="FT87" i="13" s="1"/>
  <c r="BC102" i="13"/>
  <c r="BD102" i="13" s="1"/>
  <c r="BE102" i="13" s="1"/>
  <c r="FT102" i="13" s="1"/>
  <c r="BC118" i="13"/>
  <c r="BD118" i="13" s="1"/>
  <c r="BE118" i="13" s="1"/>
  <c r="FT118" i="13" s="1"/>
  <c r="BC111" i="13"/>
  <c r="BD111" i="13" s="1"/>
  <c r="BC98" i="13"/>
  <c r="BD98" i="13" s="1"/>
  <c r="BE98" i="13" s="1"/>
  <c r="FT98" i="13" s="1"/>
  <c r="BC134" i="13"/>
  <c r="BD134" i="13" s="1"/>
  <c r="BE134" i="13" s="1"/>
  <c r="FT134" i="13" s="1"/>
  <c r="BC105" i="13"/>
  <c r="BD105" i="13" s="1"/>
  <c r="BE105" i="13" s="1"/>
  <c r="FT105" i="13" s="1"/>
  <c r="BC130" i="13"/>
  <c r="BD130" i="13" s="1"/>
  <c r="BC123" i="13"/>
  <c r="BD123" i="13" s="1"/>
  <c r="BE123" i="13" s="1"/>
  <c r="FT123" i="13" s="1"/>
  <c r="BC57" i="13"/>
  <c r="BD57" i="13" s="1"/>
  <c r="BE57" i="13" s="1"/>
  <c r="FT57" i="13" s="1"/>
  <c r="BC65" i="13"/>
  <c r="BD65" i="13" s="1"/>
  <c r="BC135" i="13"/>
  <c r="BD135" i="13" s="1"/>
  <c r="BE135" i="13" s="1"/>
  <c r="FT135" i="13" s="1"/>
  <c r="BC21" i="13"/>
  <c r="BC30" i="13"/>
  <c r="BD30" i="13" s="1"/>
  <c r="BE30" i="13" s="1"/>
  <c r="FT30" i="13" s="1"/>
  <c r="BC44" i="13"/>
  <c r="BD44" i="13" s="1"/>
  <c r="BE44" i="13" s="1"/>
  <c r="FT44" i="13" s="1"/>
  <c r="BC51" i="13"/>
  <c r="BD51" i="13" s="1"/>
  <c r="BE51" i="13" s="1"/>
  <c r="FT51" i="13" s="1"/>
  <c r="BC68" i="13"/>
  <c r="BD68" i="13" s="1"/>
  <c r="BE68" i="13" s="1"/>
  <c r="FT68" i="13" s="1"/>
  <c r="BC59" i="13"/>
  <c r="BD59" i="13" s="1"/>
  <c r="BE59" i="13" s="1"/>
  <c r="FT59" i="13" s="1"/>
  <c r="BC77" i="13"/>
  <c r="BD77" i="13" s="1"/>
  <c r="BE77" i="13" s="1"/>
  <c r="FT77" i="13" s="1"/>
  <c r="BC83" i="13"/>
  <c r="BD83" i="13" s="1"/>
  <c r="BE83" i="13" s="1"/>
  <c r="FT83" i="13" s="1"/>
  <c r="BC94" i="13"/>
  <c r="BD94" i="13" s="1"/>
  <c r="BE94" i="13" s="1"/>
  <c r="FT94" i="13" s="1"/>
  <c r="BC101" i="13"/>
  <c r="BD101" i="13" s="1"/>
  <c r="BE101" i="13" s="1"/>
  <c r="FT101" i="13" s="1"/>
  <c r="BC84" i="13"/>
  <c r="BD84" i="13" s="1"/>
  <c r="BC116" i="13"/>
  <c r="BD116" i="13" s="1"/>
  <c r="BE116" i="13" s="1"/>
  <c r="FT116" i="13" s="1"/>
  <c r="BC104" i="13"/>
  <c r="BD104" i="13" s="1"/>
  <c r="BE104" i="13" s="1"/>
  <c r="FT104" i="13" s="1"/>
  <c r="BC126" i="13"/>
  <c r="BD126" i="13" s="1"/>
  <c r="BC42" i="13"/>
  <c r="BD42" i="13" s="1"/>
  <c r="BC24" i="13"/>
  <c r="BD24" i="13" s="1"/>
  <c r="BC89" i="13"/>
  <c r="BD89" i="13" s="1"/>
  <c r="BE89" i="13" s="1"/>
  <c r="FT89" i="13" s="1"/>
  <c r="BC40" i="13"/>
  <c r="BD40" i="13" s="1"/>
  <c r="BC47" i="13"/>
  <c r="BD47" i="13" s="1"/>
  <c r="BE47" i="13" s="1"/>
  <c r="FT47" i="13" s="1"/>
  <c r="BC29" i="13"/>
  <c r="BD29" i="13" s="1"/>
  <c r="BC31" i="13"/>
  <c r="BD31" i="13" s="1"/>
  <c r="BE31" i="13" s="1"/>
  <c r="FT31" i="13" s="1"/>
  <c r="BC60" i="13"/>
  <c r="BD60" i="13" s="1"/>
  <c r="BE60" i="13" s="1"/>
  <c r="FT60" i="13" s="1"/>
  <c r="BC38" i="13"/>
  <c r="BD38" i="13" s="1"/>
  <c r="BE38" i="13" s="1"/>
  <c r="FT38" i="13" s="1"/>
  <c r="BC27" i="13"/>
  <c r="BD27" i="13" s="1"/>
  <c r="BE27" i="13" s="1"/>
  <c r="FT27" i="13" s="1"/>
  <c r="BC85" i="13"/>
  <c r="BD85" i="13" s="1"/>
  <c r="BE85" i="13" s="1"/>
  <c r="FT85" i="13" s="1"/>
  <c r="BC69" i="13"/>
  <c r="BD69" i="13" s="1"/>
  <c r="BE69" i="13" s="1"/>
  <c r="FT69" i="13" s="1"/>
  <c r="BC103" i="13"/>
  <c r="BD103" i="13" s="1"/>
  <c r="BC95" i="13"/>
  <c r="BD95" i="13" s="1"/>
  <c r="BC108" i="13"/>
  <c r="BD108" i="13" s="1"/>
  <c r="BC124" i="13"/>
  <c r="BD124" i="13" s="1"/>
  <c r="BE124" i="13" s="1"/>
  <c r="FT124" i="13" s="1"/>
  <c r="BC119" i="13"/>
  <c r="BD119" i="13" s="1"/>
  <c r="BE119" i="13" s="1"/>
  <c r="FT119" i="13" s="1"/>
  <c r="BC99" i="13"/>
  <c r="BD99" i="13" s="1"/>
  <c r="BC117" i="13"/>
  <c r="BD117" i="13" s="1"/>
  <c r="BE117" i="13" s="1"/>
  <c r="FT117" i="13" s="1"/>
  <c r="BC107" i="13"/>
  <c r="BD107" i="13" s="1"/>
  <c r="BE107" i="13" s="1"/>
  <c r="FT107" i="13" s="1"/>
  <c r="BC127" i="13"/>
  <c r="BD127" i="13" s="1"/>
  <c r="BE127" i="13" s="1"/>
  <c r="FT127" i="13" s="1"/>
  <c r="BC125" i="13"/>
  <c r="BD125" i="13" s="1"/>
  <c r="BE125" i="13" s="1"/>
  <c r="FT125" i="13" s="1"/>
  <c r="BC50" i="13"/>
  <c r="BD50" i="13" s="1"/>
  <c r="BE50" i="13" s="1"/>
  <c r="FT50" i="13" s="1"/>
  <c r="BC76" i="13"/>
  <c r="BD76" i="13" s="1"/>
  <c r="BC78" i="13"/>
  <c r="BD78" i="13" s="1"/>
  <c r="BE78" i="13" s="1"/>
  <c r="FT78" i="13" s="1"/>
  <c r="BC97" i="13"/>
  <c r="BD97" i="13" s="1"/>
  <c r="BE97" i="13" s="1"/>
  <c r="FT97" i="13" s="1"/>
  <c r="BC22" i="13"/>
  <c r="BC37" i="13"/>
  <c r="BD37" i="13" s="1"/>
  <c r="BE37" i="13" s="1"/>
  <c r="FT37" i="13" s="1"/>
  <c r="BC74" i="13"/>
  <c r="BD74" i="13" s="1"/>
  <c r="BE74" i="13" s="1"/>
  <c r="FT74" i="13" s="1"/>
  <c r="BC121" i="13"/>
  <c r="BD121" i="13" s="1"/>
  <c r="BC96" i="13"/>
  <c r="BD96" i="13" s="1"/>
  <c r="BE96" i="13" s="1"/>
  <c r="FT96" i="13" s="1"/>
  <c r="BC109" i="13"/>
  <c r="BD109" i="13" s="1"/>
  <c r="BE109" i="13" s="1"/>
  <c r="FT109" i="13" s="1"/>
  <c r="BC88" i="13"/>
  <c r="BD88" i="13" s="1"/>
  <c r="BE88" i="13" s="1"/>
  <c r="FT88" i="13" s="1"/>
  <c r="BC114" i="13"/>
  <c r="BD114" i="13" s="1"/>
  <c r="BC129" i="13"/>
  <c r="BD129" i="13" s="1"/>
  <c r="BE129" i="13" s="1"/>
  <c r="FT129" i="13" s="1"/>
  <c r="BC113" i="13"/>
  <c r="BD113" i="13" s="1"/>
  <c r="BC112" i="13"/>
  <c r="BD112" i="13" s="1"/>
  <c r="BE112" i="13" s="1"/>
  <c r="FT112" i="13" s="1"/>
  <c r="BC25" i="13"/>
  <c r="BD25" i="13" s="1"/>
  <c r="BE25" i="13" s="1"/>
  <c r="FT25" i="13" s="1"/>
  <c r="BC20" i="13"/>
  <c r="BC23" i="13"/>
  <c r="BD23" i="13" s="1"/>
  <c r="BC48" i="13"/>
  <c r="BD48" i="13" s="1"/>
  <c r="BE48" i="13" s="1"/>
  <c r="FT48" i="13" s="1"/>
  <c r="BC49" i="13"/>
  <c r="BD49" i="13" s="1"/>
  <c r="BC32" i="13"/>
  <c r="BD32" i="13" s="1"/>
  <c r="BE32" i="13" s="1"/>
  <c r="FT32" i="13" s="1"/>
  <c r="BC75" i="13"/>
  <c r="BD75" i="13" s="1"/>
  <c r="BC66" i="13"/>
  <c r="BD66" i="13" s="1"/>
  <c r="BE66" i="13" s="1"/>
  <c r="FT66" i="13" s="1"/>
  <c r="BC137" i="13"/>
  <c r="BD137" i="13" s="1"/>
  <c r="BE137" i="13" s="1"/>
  <c r="FT137" i="13" s="1"/>
  <c r="BC128" i="13"/>
  <c r="BD128" i="13" s="1"/>
  <c r="BC62" i="13"/>
  <c r="BD62" i="13" s="1"/>
  <c r="BE62" i="13" s="1"/>
  <c r="FT62" i="13" s="1"/>
  <c r="BC53" i="13"/>
  <c r="BD53" i="13" s="1"/>
  <c r="BC41" i="13"/>
  <c r="BD41" i="13" s="1"/>
  <c r="BE41" i="13" s="1"/>
  <c r="FT41" i="13" s="1"/>
  <c r="BC34" i="13"/>
  <c r="BD34" i="13" s="1"/>
  <c r="BE34" i="13" s="1"/>
  <c r="FT34" i="13" s="1"/>
  <c r="BC61" i="13"/>
  <c r="BD61" i="13" s="1"/>
  <c r="BC71" i="13"/>
  <c r="BD71" i="13" s="1"/>
  <c r="BC64" i="13"/>
  <c r="BD64" i="13" s="1"/>
  <c r="BE64" i="13" s="1"/>
  <c r="FT64" i="13" s="1"/>
  <c r="BC80" i="13"/>
  <c r="BD80" i="13" s="1"/>
  <c r="BE80" i="13" s="1"/>
  <c r="FT80" i="13" s="1"/>
  <c r="BC115" i="13"/>
  <c r="BD115" i="13" s="1"/>
  <c r="BE115" i="13" s="1"/>
  <c r="FT115" i="13" s="1"/>
  <c r="BC110" i="13"/>
  <c r="BD110" i="13" s="1"/>
  <c r="BC19" i="13"/>
  <c r="BC81" i="13"/>
  <c r="BD81" i="13" s="1"/>
  <c r="BE81" i="13" s="1"/>
  <c r="FT81" i="13" s="1"/>
  <c r="BC36" i="13"/>
  <c r="BD36" i="13" s="1"/>
  <c r="BE36" i="13" s="1"/>
  <c r="FT36" i="13" s="1"/>
  <c r="BC39" i="13"/>
  <c r="BD39" i="13" s="1"/>
  <c r="BC33" i="13"/>
  <c r="BD33" i="13" s="1"/>
  <c r="BC132" i="13"/>
  <c r="BD132" i="13" s="1"/>
  <c r="BE132" i="13" s="1"/>
  <c r="FT132" i="13" s="1"/>
  <c r="BI49" i="13"/>
  <c r="BJ49" i="13" s="1"/>
  <c r="BI26" i="13"/>
  <c r="BJ26" i="13" s="1"/>
  <c r="BI39" i="13"/>
  <c r="BJ39" i="13" s="1"/>
  <c r="BI40" i="13"/>
  <c r="BJ40" i="13" s="1"/>
  <c r="BI55" i="13"/>
  <c r="BJ55" i="13" s="1"/>
  <c r="BI20" i="13"/>
  <c r="BI87" i="13"/>
  <c r="BJ87" i="13" s="1"/>
  <c r="BI91" i="13"/>
  <c r="BJ91" i="13" s="1"/>
  <c r="BI85" i="13"/>
  <c r="BJ85" i="13" s="1"/>
  <c r="BI101" i="13"/>
  <c r="BJ101" i="13" s="1"/>
  <c r="BI121" i="13"/>
  <c r="BJ121" i="13" s="1"/>
  <c r="BI107" i="13"/>
  <c r="BJ107" i="13" s="1"/>
  <c r="BK107" i="13" s="1"/>
  <c r="GJ107" i="13" s="1"/>
  <c r="BI128" i="13"/>
  <c r="BJ128" i="13" s="1"/>
  <c r="BI124" i="13"/>
  <c r="BJ124" i="13" s="1"/>
  <c r="BI120" i="13"/>
  <c r="BJ120" i="13" s="1"/>
  <c r="BI134" i="13"/>
  <c r="BJ134" i="13" s="1"/>
  <c r="BI27" i="13"/>
  <c r="BJ27" i="13" s="1"/>
  <c r="BI43" i="13"/>
  <c r="BJ43" i="13" s="1"/>
  <c r="BI33" i="13"/>
  <c r="BJ33" i="13" s="1"/>
  <c r="BI29" i="13"/>
  <c r="BJ29" i="13" s="1"/>
  <c r="BI82" i="13"/>
  <c r="BJ82" i="13" s="1"/>
  <c r="BI56" i="13"/>
  <c r="BJ56" i="13" s="1"/>
  <c r="BI36" i="13"/>
  <c r="BJ36" i="13" s="1"/>
  <c r="BI105" i="13"/>
  <c r="BJ105" i="13" s="1"/>
  <c r="BI95" i="13"/>
  <c r="BJ95" i="13" s="1"/>
  <c r="BI97" i="13"/>
  <c r="BJ97" i="13" s="1"/>
  <c r="BI125" i="13"/>
  <c r="BJ125" i="13" s="1"/>
  <c r="BI19" i="13"/>
  <c r="BI108" i="13"/>
  <c r="BJ108" i="13" s="1"/>
  <c r="BI83" i="13"/>
  <c r="BJ83" i="13" s="1"/>
  <c r="BI51" i="13"/>
  <c r="BJ51" i="13" s="1"/>
  <c r="BI45" i="13"/>
  <c r="BJ45" i="13" s="1"/>
  <c r="BI113" i="13"/>
  <c r="BJ113" i="13" s="1"/>
  <c r="BI34" i="13"/>
  <c r="BJ34" i="13" s="1"/>
  <c r="BI23" i="13"/>
  <c r="BJ23" i="13" s="1"/>
  <c r="BK23" i="13" s="1"/>
  <c r="GJ23" i="13" s="1"/>
  <c r="BI59" i="13"/>
  <c r="BJ59" i="13" s="1"/>
  <c r="BI28" i="13"/>
  <c r="BJ28" i="13" s="1"/>
  <c r="BI30" i="13"/>
  <c r="BJ30" i="13" s="1"/>
  <c r="BI37" i="13"/>
  <c r="BJ37" i="13" s="1"/>
  <c r="BI69" i="13"/>
  <c r="BJ69" i="13" s="1"/>
  <c r="BI70" i="13"/>
  <c r="BJ70" i="13" s="1"/>
  <c r="BI84" i="13"/>
  <c r="BJ84" i="13" s="1"/>
  <c r="BI73" i="13"/>
  <c r="BJ73" i="13" s="1"/>
  <c r="BI62" i="13"/>
  <c r="BJ62" i="13" s="1"/>
  <c r="BI86" i="13"/>
  <c r="BJ86" i="13" s="1"/>
  <c r="BI102" i="13"/>
  <c r="BJ102" i="13" s="1"/>
  <c r="BI131" i="13"/>
  <c r="BJ131" i="13" s="1"/>
  <c r="BI122" i="13"/>
  <c r="BJ122" i="13" s="1"/>
  <c r="BI38" i="13"/>
  <c r="BJ38" i="13" s="1"/>
  <c r="BI24" i="13"/>
  <c r="BJ24" i="13" s="1"/>
  <c r="BI52" i="13"/>
  <c r="BJ52" i="13" s="1"/>
  <c r="BI42" i="13"/>
  <c r="BJ42" i="13" s="1"/>
  <c r="BI64" i="13"/>
  <c r="BJ64" i="13" s="1"/>
  <c r="BI77" i="13"/>
  <c r="BJ77" i="13" s="1"/>
  <c r="BI67" i="13"/>
  <c r="BJ67" i="13" s="1"/>
  <c r="BI80" i="13"/>
  <c r="BJ80" i="13" s="1"/>
  <c r="BI111" i="13"/>
  <c r="BJ111" i="13" s="1"/>
  <c r="BI63" i="13"/>
  <c r="BJ63" i="13" s="1"/>
  <c r="BI106" i="13"/>
  <c r="BJ106" i="13" s="1"/>
  <c r="BK106" i="13" s="1"/>
  <c r="GJ106" i="13" s="1"/>
  <c r="BI71" i="13"/>
  <c r="BJ71" i="13" s="1"/>
  <c r="BI130" i="13"/>
  <c r="BJ130" i="13" s="1"/>
  <c r="BI137" i="13"/>
  <c r="BJ137" i="13" s="1"/>
  <c r="BK137" i="13" s="1"/>
  <c r="GJ137" i="13" s="1"/>
  <c r="BI114" i="13"/>
  <c r="BJ114" i="13" s="1"/>
  <c r="BI132" i="13"/>
  <c r="BJ132" i="13" s="1"/>
  <c r="BI127" i="13"/>
  <c r="BJ127" i="13" s="1"/>
  <c r="BI110" i="13"/>
  <c r="BJ110" i="13" s="1"/>
  <c r="BI57" i="13"/>
  <c r="BJ57" i="13" s="1"/>
  <c r="BI32" i="13"/>
  <c r="BJ32" i="13" s="1"/>
  <c r="BI65" i="13"/>
  <c r="BJ65" i="13" s="1"/>
  <c r="BK65" i="13" s="1"/>
  <c r="GJ65" i="13" s="1"/>
  <c r="BI78" i="13"/>
  <c r="BJ78" i="13" s="1"/>
  <c r="BK78" i="13" s="1"/>
  <c r="GJ78" i="13" s="1"/>
  <c r="BI68" i="13"/>
  <c r="BJ68" i="13" s="1"/>
  <c r="BI75" i="13"/>
  <c r="BJ75" i="13" s="1"/>
  <c r="BI61" i="13"/>
  <c r="BJ61" i="13" s="1"/>
  <c r="BI99" i="13"/>
  <c r="BJ99" i="13" s="1"/>
  <c r="BI109" i="13"/>
  <c r="BJ109" i="13" s="1"/>
  <c r="BI123" i="13"/>
  <c r="BJ123" i="13" s="1"/>
  <c r="BK123" i="13" s="1"/>
  <c r="GJ123" i="13" s="1"/>
  <c r="BI115" i="13"/>
  <c r="BJ115" i="13" s="1"/>
  <c r="BK115" i="13" s="1"/>
  <c r="GJ115" i="13" s="1"/>
  <c r="BI133" i="13"/>
  <c r="BJ133" i="13" s="1"/>
  <c r="BK133" i="13" s="1"/>
  <c r="GJ133" i="13" s="1"/>
  <c r="BI50" i="13"/>
  <c r="BJ50" i="13" s="1"/>
  <c r="BI25" i="13"/>
  <c r="BJ25" i="13" s="1"/>
  <c r="BI53" i="13"/>
  <c r="BJ53" i="13" s="1"/>
  <c r="BI21" i="13"/>
  <c r="BI31" i="13"/>
  <c r="BJ31" i="13" s="1"/>
  <c r="BI48" i="13"/>
  <c r="BJ48" i="13" s="1"/>
  <c r="BI79" i="13"/>
  <c r="BJ79" i="13" s="1"/>
  <c r="BK79" i="13" s="1"/>
  <c r="GJ79" i="13" s="1"/>
  <c r="BI41" i="13"/>
  <c r="BJ41" i="13" s="1"/>
  <c r="BI119" i="13"/>
  <c r="BJ119" i="13" s="1"/>
  <c r="BI93" i="13"/>
  <c r="BJ93" i="13" s="1"/>
  <c r="BI103" i="13"/>
  <c r="BJ103" i="13" s="1"/>
  <c r="BI118" i="13"/>
  <c r="BJ118" i="13" s="1"/>
  <c r="BI135" i="13"/>
  <c r="BJ135" i="13" s="1"/>
  <c r="BI129" i="13"/>
  <c r="BJ129" i="13" s="1"/>
  <c r="BI66" i="13"/>
  <c r="BJ66" i="13" s="1"/>
  <c r="BI22" i="13"/>
  <c r="BI76" i="13"/>
  <c r="BJ76" i="13" s="1"/>
  <c r="BI94" i="13"/>
  <c r="BJ94" i="13" s="1"/>
  <c r="BI100" i="13"/>
  <c r="BJ100" i="13" s="1"/>
  <c r="BI116" i="13"/>
  <c r="BJ116" i="13" s="1"/>
  <c r="BI44" i="13"/>
  <c r="BJ44" i="13" s="1"/>
  <c r="BI54" i="13"/>
  <c r="BJ54" i="13" s="1"/>
  <c r="BI35" i="13"/>
  <c r="BJ35" i="13" s="1"/>
  <c r="BI47" i="13"/>
  <c r="BJ47" i="13" s="1"/>
  <c r="BI90" i="13"/>
  <c r="BJ90" i="13" s="1"/>
  <c r="BI74" i="13"/>
  <c r="BJ74" i="13" s="1"/>
  <c r="BI81" i="13"/>
  <c r="BJ81" i="13" s="1"/>
  <c r="BI92" i="13"/>
  <c r="BJ92" i="13" s="1"/>
  <c r="BI72" i="13"/>
  <c r="BJ72" i="13" s="1"/>
  <c r="BI88" i="13"/>
  <c r="BJ88" i="13" s="1"/>
  <c r="BI98" i="13"/>
  <c r="BJ98" i="13" s="1"/>
  <c r="BK98" i="13" s="1"/>
  <c r="GJ98" i="13" s="1"/>
  <c r="BI104" i="13"/>
  <c r="BJ104" i="13" s="1"/>
  <c r="BI89" i="13"/>
  <c r="BJ89" i="13" s="1"/>
  <c r="BI96" i="13"/>
  <c r="BJ96" i="13" s="1"/>
  <c r="BI112" i="13"/>
  <c r="BJ112" i="13" s="1"/>
  <c r="BI136" i="13"/>
  <c r="BJ136" i="13" s="1"/>
  <c r="BI126" i="13"/>
  <c r="BJ126" i="13" s="1"/>
  <c r="BI46" i="13"/>
  <c r="BJ46" i="13" s="1"/>
  <c r="BI58" i="13"/>
  <c r="BJ58" i="13" s="1"/>
  <c r="BI60" i="13"/>
  <c r="BJ60" i="13" s="1"/>
  <c r="BI117" i="13"/>
  <c r="BJ117" i="13" s="1"/>
  <c r="BL29" i="13"/>
  <c r="BM29" i="13" s="1"/>
  <c r="BL36" i="13"/>
  <c r="BM36" i="13" s="1"/>
  <c r="BL40" i="13"/>
  <c r="BM40" i="13" s="1"/>
  <c r="BL46" i="13"/>
  <c r="BM46" i="13" s="1"/>
  <c r="BL63" i="13"/>
  <c r="BM63" i="13" s="1"/>
  <c r="BL52" i="13"/>
  <c r="BM52" i="13" s="1"/>
  <c r="BL61" i="13"/>
  <c r="BM61" i="13" s="1"/>
  <c r="BL34" i="13"/>
  <c r="BM34" i="13" s="1"/>
  <c r="BL83" i="13"/>
  <c r="BM83" i="13" s="1"/>
  <c r="BL54" i="13"/>
  <c r="BM54" i="13" s="1"/>
  <c r="BL68" i="13"/>
  <c r="BM68" i="13" s="1"/>
  <c r="BL106" i="13"/>
  <c r="BM106" i="13" s="1"/>
  <c r="BL101" i="13"/>
  <c r="BM101" i="13" s="1"/>
  <c r="BL118" i="13"/>
  <c r="BM118" i="13" s="1"/>
  <c r="BL123" i="13"/>
  <c r="BM123" i="13" s="1"/>
  <c r="BL135" i="13"/>
  <c r="BM135" i="13" s="1"/>
  <c r="BL102" i="13"/>
  <c r="BM102" i="13" s="1"/>
  <c r="BL137" i="13"/>
  <c r="BM137" i="13" s="1"/>
  <c r="BN137" i="13" s="1"/>
  <c r="GR137" i="13" s="1"/>
  <c r="BL43" i="13"/>
  <c r="BM43" i="13" s="1"/>
  <c r="BL129" i="13"/>
  <c r="BM129" i="13" s="1"/>
  <c r="BL33" i="13"/>
  <c r="BM33" i="13" s="1"/>
  <c r="BL51" i="13"/>
  <c r="BM51" i="13" s="1"/>
  <c r="BL65" i="13"/>
  <c r="BM65" i="13" s="1"/>
  <c r="BL78" i="13"/>
  <c r="BM78" i="13" s="1"/>
  <c r="BL59" i="13"/>
  <c r="BM59" i="13" s="1"/>
  <c r="BN59" i="13" s="1"/>
  <c r="GR59" i="13" s="1"/>
  <c r="BL99" i="13"/>
  <c r="BM99" i="13" s="1"/>
  <c r="BL109" i="13"/>
  <c r="BM109" i="13" s="1"/>
  <c r="BL104" i="13"/>
  <c r="BM104" i="13" s="1"/>
  <c r="BN104" i="13" s="1"/>
  <c r="GR104" i="13" s="1"/>
  <c r="BL86" i="13"/>
  <c r="BM86" i="13" s="1"/>
  <c r="BL130" i="13"/>
  <c r="BM130" i="13" s="1"/>
  <c r="BL133" i="13"/>
  <c r="BM133" i="13" s="1"/>
  <c r="BL96" i="13"/>
  <c r="BM96" i="13" s="1"/>
  <c r="BL121" i="13"/>
  <c r="BM121" i="13" s="1"/>
  <c r="BL127" i="13"/>
  <c r="BM127" i="13" s="1"/>
  <c r="BL105" i="13"/>
  <c r="BM105" i="13" s="1"/>
  <c r="BN105" i="13" s="1"/>
  <c r="GR105" i="13" s="1"/>
  <c r="BL19" i="13"/>
  <c r="BL37" i="13"/>
  <c r="BM37" i="13" s="1"/>
  <c r="BL56" i="13"/>
  <c r="BM56" i="13" s="1"/>
  <c r="BL44" i="13"/>
  <c r="BM44" i="13" s="1"/>
  <c r="BL41" i="13"/>
  <c r="BM41" i="13" s="1"/>
  <c r="BL66" i="13"/>
  <c r="BM66" i="13" s="1"/>
  <c r="BL76" i="13"/>
  <c r="BM76" i="13" s="1"/>
  <c r="BL60" i="13"/>
  <c r="BM60" i="13" s="1"/>
  <c r="BL74" i="13"/>
  <c r="BM74" i="13" s="1"/>
  <c r="BN74" i="13" s="1"/>
  <c r="GR74" i="13" s="1"/>
  <c r="BL110" i="13"/>
  <c r="BM110" i="13" s="1"/>
  <c r="BL92" i="13"/>
  <c r="BM92" i="13" s="1"/>
  <c r="BL94" i="13"/>
  <c r="BM94" i="13" s="1"/>
  <c r="BL112" i="13"/>
  <c r="BM112" i="13" s="1"/>
  <c r="BL136" i="13"/>
  <c r="BM136" i="13" s="1"/>
  <c r="BN136" i="13" s="1"/>
  <c r="GR136" i="13" s="1"/>
  <c r="BL53" i="13"/>
  <c r="BM53" i="13" s="1"/>
  <c r="BL67" i="13"/>
  <c r="BM67" i="13" s="1"/>
  <c r="BL97" i="13"/>
  <c r="BM97" i="13" s="1"/>
  <c r="BL132" i="13"/>
  <c r="BM132" i="13" s="1"/>
  <c r="BL28" i="13"/>
  <c r="BM28" i="13" s="1"/>
  <c r="BN28" i="13" s="1"/>
  <c r="GR28" i="13" s="1"/>
  <c r="BL49" i="13"/>
  <c r="BM49" i="13" s="1"/>
  <c r="BN49" i="13" s="1"/>
  <c r="GR49" i="13" s="1"/>
  <c r="BL23" i="13"/>
  <c r="BM23" i="13" s="1"/>
  <c r="BL31" i="13"/>
  <c r="BM31" i="13" s="1"/>
  <c r="BL57" i="13"/>
  <c r="BM57" i="13" s="1"/>
  <c r="BL87" i="13"/>
  <c r="BM87" i="13" s="1"/>
  <c r="BL113" i="13"/>
  <c r="BM113" i="13" s="1"/>
  <c r="BL117" i="13"/>
  <c r="BM117" i="13" s="1"/>
  <c r="BL126" i="13"/>
  <c r="BM126" i="13" s="1"/>
  <c r="BL73" i="13"/>
  <c r="BM73" i="13" s="1"/>
  <c r="BL24" i="13"/>
  <c r="BM24" i="13" s="1"/>
  <c r="BL134" i="13"/>
  <c r="BM134" i="13" s="1"/>
  <c r="BL42" i="13"/>
  <c r="BM42" i="13" s="1"/>
  <c r="BL45" i="13"/>
  <c r="BM45" i="13" s="1"/>
  <c r="BL71" i="13"/>
  <c r="BM71" i="13" s="1"/>
  <c r="BL80" i="13"/>
  <c r="BM80" i="13" s="1"/>
  <c r="BL70" i="13"/>
  <c r="BM70" i="13" s="1"/>
  <c r="BL75" i="13"/>
  <c r="BM75" i="13" s="1"/>
  <c r="BL103" i="13"/>
  <c r="BM103" i="13" s="1"/>
  <c r="BL84" i="13"/>
  <c r="BM84" i="13" s="1"/>
  <c r="BL115" i="13"/>
  <c r="BM115" i="13" s="1"/>
  <c r="BL100" i="13"/>
  <c r="BM100" i="13" s="1"/>
  <c r="BL119" i="13"/>
  <c r="BM119" i="13" s="1"/>
  <c r="BL131" i="13"/>
  <c r="BM131" i="13" s="1"/>
  <c r="BL107" i="13"/>
  <c r="BM107" i="13" s="1"/>
  <c r="BL30" i="13"/>
  <c r="BM30" i="13" s="1"/>
  <c r="BL25" i="13"/>
  <c r="BM25" i="13" s="1"/>
  <c r="BL38" i="13"/>
  <c r="BM38" i="13" s="1"/>
  <c r="BL20" i="13"/>
  <c r="BL72" i="13"/>
  <c r="BM72" i="13" s="1"/>
  <c r="BL88" i="13"/>
  <c r="BM88" i="13" s="1"/>
  <c r="BL35" i="13"/>
  <c r="BM35" i="13" s="1"/>
  <c r="BL69" i="13"/>
  <c r="BM69" i="13" s="1"/>
  <c r="BL89" i="13"/>
  <c r="BM89" i="13" s="1"/>
  <c r="BL55" i="13"/>
  <c r="BM55" i="13" s="1"/>
  <c r="BL91" i="13"/>
  <c r="BM91" i="13" s="1"/>
  <c r="BL114" i="13"/>
  <c r="BM114" i="13" s="1"/>
  <c r="BN114" i="13" s="1"/>
  <c r="GR114" i="13" s="1"/>
  <c r="BL79" i="13"/>
  <c r="BM79" i="13" s="1"/>
  <c r="BL93" i="13"/>
  <c r="BM93" i="13" s="1"/>
  <c r="BL85" i="13"/>
  <c r="BM85" i="13" s="1"/>
  <c r="BL95" i="13"/>
  <c r="BM95" i="13" s="1"/>
  <c r="BL111" i="13"/>
  <c r="BM111" i="13" s="1"/>
  <c r="BL116" i="13"/>
  <c r="BM116" i="13" s="1"/>
  <c r="BL98" i="13"/>
  <c r="BM98" i="13" s="1"/>
  <c r="BL128" i="13"/>
  <c r="BM128" i="13" s="1"/>
  <c r="BL124" i="13"/>
  <c r="BM124" i="13" s="1"/>
  <c r="BL27" i="13"/>
  <c r="BM27" i="13" s="1"/>
  <c r="BN27" i="13" s="1"/>
  <c r="GR27" i="13" s="1"/>
  <c r="BL48" i="13"/>
  <c r="BM48" i="13" s="1"/>
  <c r="BL26" i="13"/>
  <c r="BM26" i="13" s="1"/>
  <c r="BL32" i="13"/>
  <c r="BM32" i="13" s="1"/>
  <c r="BL50" i="13"/>
  <c r="BM50" i="13" s="1"/>
  <c r="BL39" i="13"/>
  <c r="BM39" i="13" s="1"/>
  <c r="BL22" i="13"/>
  <c r="BL21" i="13"/>
  <c r="BL58" i="13"/>
  <c r="BM58" i="13" s="1"/>
  <c r="BL62" i="13"/>
  <c r="BM62" i="13" s="1"/>
  <c r="BL81" i="13"/>
  <c r="BM81" i="13" s="1"/>
  <c r="BL64" i="13"/>
  <c r="BM64" i="13" s="1"/>
  <c r="BL77" i="13"/>
  <c r="BM77" i="13" s="1"/>
  <c r="BL90" i="13"/>
  <c r="BM90" i="13" s="1"/>
  <c r="BL108" i="13"/>
  <c r="BM108" i="13" s="1"/>
  <c r="BL82" i="13"/>
  <c r="BM82" i="13" s="1"/>
  <c r="BL122" i="13"/>
  <c r="BM122" i="13" s="1"/>
  <c r="BL47" i="13"/>
  <c r="BM47" i="13" s="1"/>
  <c r="BL120" i="13"/>
  <c r="BM120" i="13" s="1"/>
  <c r="BL125" i="13"/>
  <c r="BM125" i="13" s="1"/>
  <c r="BO56" i="13"/>
  <c r="BP56" i="13" s="1"/>
  <c r="BO22" i="13"/>
  <c r="BO35" i="13"/>
  <c r="BP35" i="13" s="1"/>
  <c r="BO61" i="13"/>
  <c r="BP61" i="13" s="1"/>
  <c r="BO85" i="13"/>
  <c r="BP85" i="13" s="1"/>
  <c r="BO78" i="13"/>
  <c r="BP78" i="13" s="1"/>
  <c r="BO87" i="13"/>
  <c r="BP87" i="13" s="1"/>
  <c r="BO93" i="13"/>
  <c r="BP93" i="13" s="1"/>
  <c r="BO68" i="13"/>
  <c r="BP68" i="13" s="1"/>
  <c r="BO127" i="13"/>
  <c r="BP127" i="13" s="1"/>
  <c r="BO118" i="13"/>
  <c r="BP118" i="13" s="1"/>
  <c r="BO134" i="13"/>
  <c r="BP134" i="13" s="1"/>
  <c r="BO106" i="13"/>
  <c r="BP106" i="13" s="1"/>
  <c r="BO126" i="13"/>
  <c r="BP126" i="13" s="1"/>
  <c r="BO27" i="13"/>
  <c r="BP27" i="13" s="1"/>
  <c r="BO23" i="13"/>
  <c r="BP23" i="13" s="1"/>
  <c r="BO34" i="13"/>
  <c r="BP34" i="13" s="1"/>
  <c r="BO54" i="13"/>
  <c r="BP54" i="13" s="1"/>
  <c r="BO47" i="13"/>
  <c r="BP47" i="13" s="1"/>
  <c r="BO52" i="13"/>
  <c r="BP52" i="13" s="1"/>
  <c r="BQ52" i="13" s="1"/>
  <c r="GZ52" i="13" s="1"/>
  <c r="BO25" i="13"/>
  <c r="BP25" i="13" s="1"/>
  <c r="BO92" i="13"/>
  <c r="BP92" i="13" s="1"/>
  <c r="BO62" i="13"/>
  <c r="BP62" i="13" s="1"/>
  <c r="BO66" i="13"/>
  <c r="BP66" i="13" s="1"/>
  <c r="BO88" i="13"/>
  <c r="BP88" i="13" s="1"/>
  <c r="BO69" i="13"/>
  <c r="BP69" i="13" s="1"/>
  <c r="BO132" i="13"/>
  <c r="BP132" i="13" s="1"/>
  <c r="BO133" i="13"/>
  <c r="BP133" i="13" s="1"/>
  <c r="BO136" i="13"/>
  <c r="BP136" i="13" s="1"/>
  <c r="BO131" i="13"/>
  <c r="BP131" i="13" s="1"/>
  <c r="BO109" i="13"/>
  <c r="BP109" i="13" s="1"/>
  <c r="BO130" i="13"/>
  <c r="BP130" i="13" s="1"/>
  <c r="BQ130" i="13" s="1"/>
  <c r="GZ130" i="13" s="1"/>
  <c r="BO64" i="13"/>
  <c r="BP64" i="13" s="1"/>
  <c r="BO20" i="13"/>
  <c r="BO21" i="13"/>
  <c r="BO63" i="13"/>
  <c r="BP63" i="13" s="1"/>
  <c r="BO86" i="13"/>
  <c r="BP86" i="13" s="1"/>
  <c r="BO79" i="13"/>
  <c r="BP79" i="13" s="1"/>
  <c r="BO81" i="13"/>
  <c r="BP81" i="13" s="1"/>
  <c r="BO97" i="13"/>
  <c r="BP97" i="13" s="1"/>
  <c r="BO111" i="13"/>
  <c r="BP111" i="13" s="1"/>
  <c r="BO67" i="13"/>
  <c r="BP67" i="13" s="1"/>
  <c r="BO76" i="13"/>
  <c r="BP76" i="13" s="1"/>
  <c r="BO102" i="13"/>
  <c r="BP102" i="13" s="1"/>
  <c r="BO120" i="13"/>
  <c r="BP120" i="13" s="1"/>
  <c r="BO137" i="13"/>
  <c r="BP137" i="13" s="1"/>
  <c r="BO107" i="13"/>
  <c r="BP107" i="13" s="1"/>
  <c r="BO123" i="13"/>
  <c r="BP123" i="13" s="1"/>
  <c r="BO128" i="13"/>
  <c r="BP128" i="13" s="1"/>
  <c r="BO73" i="13"/>
  <c r="BP73" i="13" s="1"/>
  <c r="BO28" i="13"/>
  <c r="BP28" i="13" s="1"/>
  <c r="BO49" i="13"/>
  <c r="BP49" i="13" s="1"/>
  <c r="BO38" i="13"/>
  <c r="BP38" i="13" s="1"/>
  <c r="BO51" i="13"/>
  <c r="BP51" i="13" s="1"/>
  <c r="BO24" i="13"/>
  <c r="BP24" i="13" s="1"/>
  <c r="BO55" i="13"/>
  <c r="BP55" i="13" s="1"/>
  <c r="BO59" i="13"/>
  <c r="BP59" i="13" s="1"/>
  <c r="BO70" i="13"/>
  <c r="BP70" i="13" s="1"/>
  <c r="BO58" i="13"/>
  <c r="BP58" i="13" s="1"/>
  <c r="BO77" i="13"/>
  <c r="BP77" i="13" s="1"/>
  <c r="BO89" i="13"/>
  <c r="BP89" i="13" s="1"/>
  <c r="BO75" i="13"/>
  <c r="BP75" i="13" s="1"/>
  <c r="BO100" i="13"/>
  <c r="BP100" i="13" s="1"/>
  <c r="BO112" i="13"/>
  <c r="BP112" i="13" s="1"/>
  <c r="BO119" i="13"/>
  <c r="BP119" i="13" s="1"/>
  <c r="BO114" i="13"/>
  <c r="BP114" i="13" s="1"/>
  <c r="BO84" i="13"/>
  <c r="BP84" i="13" s="1"/>
  <c r="BO121" i="13"/>
  <c r="BP121" i="13" s="1"/>
  <c r="BO125" i="13"/>
  <c r="BP125" i="13" s="1"/>
  <c r="BO122" i="13"/>
  <c r="BP122" i="13" s="1"/>
  <c r="BO115" i="13"/>
  <c r="BP115" i="13" s="1"/>
  <c r="BO104" i="13"/>
  <c r="BP104" i="13" s="1"/>
  <c r="BO29" i="13"/>
  <c r="BP29" i="13" s="1"/>
  <c r="BO42" i="13"/>
  <c r="BP42" i="13" s="1"/>
  <c r="BO43" i="13"/>
  <c r="BP43" i="13" s="1"/>
  <c r="BO50" i="13"/>
  <c r="BP50" i="13" s="1"/>
  <c r="BO44" i="13"/>
  <c r="BP44" i="13" s="1"/>
  <c r="BO71" i="13"/>
  <c r="BP71" i="13" s="1"/>
  <c r="BQ71" i="13" s="1"/>
  <c r="GZ71" i="13" s="1"/>
  <c r="BO95" i="13"/>
  <c r="BP95" i="13" s="1"/>
  <c r="BO98" i="13"/>
  <c r="BP98" i="13" s="1"/>
  <c r="BO103" i="13"/>
  <c r="BP103" i="13" s="1"/>
  <c r="BO94" i="13"/>
  <c r="BP94" i="13" s="1"/>
  <c r="BO19" i="13"/>
  <c r="BO99" i="13"/>
  <c r="BP99" i="13" s="1"/>
  <c r="BO36" i="13"/>
  <c r="BP36" i="13" s="1"/>
  <c r="BQ36" i="13" s="1"/>
  <c r="GZ36" i="13" s="1"/>
  <c r="BO30" i="13"/>
  <c r="BP30" i="13" s="1"/>
  <c r="BO33" i="13"/>
  <c r="BP33" i="13" s="1"/>
  <c r="BO72" i="13"/>
  <c r="BP72" i="13" s="1"/>
  <c r="BO82" i="13"/>
  <c r="BP82" i="13" s="1"/>
  <c r="BO39" i="13"/>
  <c r="BP39" i="13" s="1"/>
  <c r="BO90" i="13"/>
  <c r="BP90" i="13" s="1"/>
  <c r="BO83" i="13"/>
  <c r="BP83" i="13" s="1"/>
  <c r="BO101" i="13"/>
  <c r="BP101" i="13" s="1"/>
  <c r="BO96" i="13"/>
  <c r="BP96" i="13" s="1"/>
  <c r="BO135" i="13"/>
  <c r="BP135" i="13" s="1"/>
  <c r="BO37" i="13"/>
  <c r="BP37" i="13" s="1"/>
  <c r="BO48" i="13"/>
  <c r="BP48" i="13" s="1"/>
  <c r="BO32" i="13"/>
  <c r="BP32" i="13" s="1"/>
  <c r="BO40" i="13"/>
  <c r="BP40" i="13" s="1"/>
  <c r="BO57" i="13"/>
  <c r="BP57" i="13" s="1"/>
  <c r="BO41" i="13"/>
  <c r="BP41" i="13" s="1"/>
  <c r="BO31" i="13"/>
  <c r="BP31" i="13" s="1"/>
  <c r="BO45" i="13"/>
  <c r="BP45" i="13" s="1"/>
  <c r="BQ45" i="13" s="1"/>
  <c r="GZ45" i="13" s="1"/>
  <c r="BO53" i="13"/>
  <c r="BP53" i="13" s="1"/>
  <c r="BO46" i="13"/>
  <c r="BP46" i="13" s="1"/>
  <c r="BQ46" i="13" s="1"/>
  <c r="GZ46" i="13" s="1"/>
  <c r="BO74" i="13"/>
  <c r="BP74" i="13" s="1"/>
  <c r="BO91" i="13"/>
  <c r="BP91" i="13" s="1"/>
  <c r="BO60" i="13"/>
  <c r="BP60" i="13" s="1"/>
  <c r="BO65" i="13"/>
  <c r="BP65" i="13" s="1"/>
  <c r="BO116" i="13"/>
  <c r="BP116" i="13" s="1"/>
  <c r="BO80" i="13"/>
  <c r="BP80" i="13" s="1"/>
  <c r="BO110" i="13"/>
  <c r="BP110" i="13" s="1"/>
  <c r="BO105" i="13"/>
  <c r="BP105" i="13" s="1"/>
  <c r="BO108" i="13"/>
  <c r="BP108" i="13" s="1"/>
  <c r="BO129" i="13"/>
  <c r="BP129" i="13" s="1"/>
  <c r="BO117" i="13"/>
  <c r="BP117" i="13" s="1"/>
  <c r="BO26" i="13"/>
  <c r="BP26" i="13" s="1"/>
  <c r="BO113" i="13"/>
  <c r="BP113" i="13" s="1"/>
  <c r="BO124" i="13"/>
  <c r="BP124" i="13" s="1"/>
  <c r="AO29" i="1"/>
  <c r="AN29" i="1"/>
  <c r="AO26" i="1"/>
  <c r="AM24" i="1"/>
  <c r="AN21" i="1"/>
  <c r="AM29" i="1"/>
  <c r="AO23" i="1"/>
  <c r="AO28" i="1"/>
  <c r="AM26" i="1"/>
  <c r="AN23" i="1"/>
  <c r="AN26" i="1"/>
  <c r="AM21" i="1"/>
  <c r="AN28" i="1"/>
  <c r="AO25" i="1"/>
  <c r="AM23" i="1"/>
  <c r="AO30" i="1"/>
  <c r="AO22" i="1"/>
  <c r="AN25" i="1"/>
  <c r="AN30" i="1"/>
  <c r="AO27" i="1"/>
  <c r="AM25" i="1"/>
  <c r="AN22" i="1"/>
  <c r="AM28" i="1"/>
  <c r="AM30" i="1"/>
  <c r="AN27" i="1"/>
  <c r="AO24" i="1"/>
  <c r="AM22" i="1"/>
  <c r="CQ4" i="13"/>
  <c r="CQ17" i="13"/>
  <c r="BW12" i="13"/>
  <c r="BV12" i="13"/>
  <c r="BU12" i="13"/>
  <c r="BT12" i="13"/>
  <c r="BS12" i="13"/>
  <c r="GZ17" i="13"/>
  <c r="GX17" i="13"/>
  <c r="GV17" i="13"/>
  <c r="GT17" i="13"/>
  <c r="GR17" i="13"/>
  <c r="GP17" i="13"/>
  <c r="GN17" i="13"/>
  <c r="GL17" i="13"/>
  <c r="GJ17" i="13"/>
  <c r="GH17" i="13"/>
  <c r="GF17" i="13"/>
  <c r="GD17" i="13"/>
  <c r="GB17" i="13"/>
  <c r="FZ17" i="13"/>
  <c r="FX17" i="13"/>
  <c r="FV17" i="13"/>
  <c r="FT17" i="13"/>
  <c r="FR17" i="13"/>
  <c r="FP17" i="13"/>
  <c r="FN17" i="13"/>
  <c r="FL17" i="13"/>
  <c r="FJ17" i="13"/>
  <c r="FH17" i="13"/>
  <c r="FF17" i="13"/>
  <c r="FD17" i="13"/>
  <c r="FB17" i="13"/>
  <c r="EZ17" i="13"/>
  <c r="EX17" i="13"/>
  <c r="EV17" i="13"/>
  <c r="ET17" i="13"/>
  <c r="ER17" i="13"/>
  <c r="EP17" i="13"/>
  <c r="EN17" i="13"/>
  <c r="EL17" i="13"/>
  <c r="EJ17" i="13"/>
  <c r="EH17" i="13"/>
  <c r="EN12" i="13" l="1"/>
  <c r="FD12" i="13"/>
  <c r="EV12" i="13"/>
  <c r="AV113" i="13"/>
  <c r="EV113" i="13" s="1"/>
  <c r="AY127" i="13"/>
  <c r="FD127" i="13" s="1"/>
  <c r="AV108" i="13"/>
  <c r="EV108" i="13" s="1"/>
  <c r="AS50" i="13"/>
  <c r="EN50" i="13" s="1"/>
  <c r="AS41" i="13"/>
  <c r="EN41" i="13" s="1"/>
  <c r="BE23" i="13"/>
  <c r="FT23" i="13" s="1"/>
  <c r="BE76" i="13"/>
  <c r="FT76" i="13" s="1"/>
  <c r="BE126" i="13"/>
  <c r="FT126" i="13" s="1"/>
  <c r="BE73" i="13"/>
  <c r="FT73" i="13" s="1"/>
  <c r="AZ36" i="13"/>
  <c r="BA36" i="13" s="1"/>
  <c r="AZ27" i="13"/>
  <c r="BA27" i="13" s="1"/>
  <c r="BB27" i="13" s="1"/>
  <c r="FL27" i="13" s="1"/>
  <c r="AZ60" i="13"/>
  <c r="BA60" i="13" s="1"/>
  <c r="BB60" i="13" s="1"/>
  <c r="FL60" i="13" s="1"/>
  <c r="AZ64" i="13"/>
  <c r="BA64" i="13" s="1"/>
  <c r="AZ78" i="13"/>
  <c r="BA78" i="13" s="1"/>
  <c r="AZ44" i="13"/>
  <c r="BA44" i="13" s="1"/>
  <c r="AZ101" i="13"/>
  <c r="BA101" i="13" s="1"/>
  <c r="BB101" i="13" s="1"/>
  <c r="FL101" i="13" s="1"/>
  <c r="AZ122" i="13"/>
  <c r="BA122" i="13" s="1"/>
  <c r="BB122" i="13" s="1"/>
  <c r="FL122" i="13" s="1"/>
  <c r="AZ85" i="13"/>
  <c r="BA85" i="13" s="1"/>
  <c r="BB85" i="13" s="1"/>
  <c r="FL85" i="13" s="1"/>
  <c r="AZ114" i="13"/>
  <c r="BA114" i="13" s="1"/>
  <c r="AZ94" i="13"/>
  <c r="BA94" i="13" s="1"/>
  <c r="AZ128" i="13"/>
  <c r="BA128" i="13" s="1"/>
  <c r="BB128" i="13" s="1"/>
  <c r="FL128" i="13" s="1"/>
  <c r="AZ125" i="13"/>
  <c r="BA125" i="13" s="1"/>
  <c r="AZ19" i="13"/>
  <c r="AZ121" i="13"/>
  <c r="BA121" i="13" s="1"/>
  <c r="BB121" i="13" s="1"/>
  <c r="FL121" i="13" s="1"/>
  <c r="AZ37" i="13"/>
  <c r="BA37" i="13" s="1"/>
  <c r="BB37" i="13" s="1"/>
  <c r="FL37" i="13" s="1"/>
  <c r="AZ48" i="13"/>
  <c r="BA48" i="13" s="1"/>
  <c r="AZ34" i="13"/>
  <c r="BA34" i="13" s="1"/>
  <c r="AZ53" i="13"/>
  <c r="BA53" i="13" s="1"/>
  <c r="BB53" i="13" s="1"/>
  <c r="FL53" i="13" s="1"/>
  <c r="AZ61" i="13"/>
  <c r="BA61" i="13" s="1"/>
  <c r="BB61" i="13" s="1"/>
  <c r="FL61" i="13" s="1"/>
  <c r="AZ66" i="13"/>
  <c r="BA66" i="13" s="1"/>
  <c r="BB66" i="13" s="1"/>
  <c r="FL66" i="13" s="1"/>
  <c r="AZ76" i="13"/>
  <c r="BA76" i="13" s="1"/>
  <c r="AZ91" i="13"/>
  <c r="BA91" i="13" s="1"/>
  <c r="BB91" i="13" s="1"/>
  <c r="FL91" i="13" s="1"/>
  <c r="AZ107" i="13"/>
  <c r="BA107" i="13" s="1"/>
  <c r="BB107" i="13" s="1"/>
  <c r="FL107" i="13" s="1"/>
  <c r="AZ98" i="13"/>
  <c r="BA98" i="13" s="1"/>
  <c r="BB98" i="13" s="1"/>
  <c r="FL98" i="13" s="1"/>
  <c r="AZ82" i="13"/>
  <c r="BA82" i="13" s="1"/>
  <c r="BB82" i="13" s="1"/>
  <c r="FL82" i="13" s="1"/>
  <c r="AZ103" i="13"/>
  <c r="BA103" i="13" s="1"/>
  <c r="AZ102" i="13"/>
  <c r="BA102" i="13" s="1"/>
  <c r="BB102" i="13" s="1"/>
  <c r="FL102" i="13" s="1"/>
  <c r="AZ134" i="13"/>
  <c r="BA134" i="13" s="1"/>
  <c r="BB134" i="13" s="1"/>
  <c r="FL134" i="13" s="1"/>
  <c r="AZ105" i="13"/>
  <c r="BA105" i="13" s="1"/>
  <c r="BB105" i="13" s="1"/>
  <c r="FL105" i="13" s="1"/>
  <c r="AZ59" i="13"/>
  <c r="BA59" i="13" s="1"/>
  <c r="BB59" i="13" s="1"/>
  <c r="FL59" i="13" s="1"/>
  <c r="AZ77" i="13"/>
  <c r="BA77" i="13" s="1"/>
  <c r="BB77" i="13" s="1"/>
  <c r="FL77" i="13" s="1"/>
  <c r="AZ47" i="13"/>
  <c r="BA47" i="13" s="1"/>
  <c r="BB47" i="13" s="1"/>
  <c r="FL47" i="13" s="1"/>
  <c r="AZ49" i="13"/>
  <c r="BA49" i="13" s="1"/>
  <c r="AZ38" i="13"/>
  <c r="BA38" i="13" s="1"/>
  <c r="BB38" i="13" s="1"/>
  <c r="FL38" i="13" s="1"/>
  <c r="AZ35" i="13"/>
  <c r="BA35" i="13" s="1"/>
  <c r="BB35" i="13" s="1"/>
  <c r="FL35" i="13" s="1"/>
  <c r="AZ26" i="13"/>
  <c r="BA26" i="13" s="1"/>
  <c r="BB26" i="13" s="1"/>
  <c r="FL26" i="13" s="1"/>
  <c r="AZ71" i="13"/>
  <c r="BA71" i="13" s="1"/>
  <c r="AZ62" i="13"/>
  <c r="BA62" i="13" s="1"/>
  <c r="BB62" i="13" s="1"/>
  <c r="FL62" i="13" s="1"/>
  <c r="AZ86" i="13"/>
  <c r="BA86" i="13" s="1"/>
  <c r="BB86" i="13" s="1"/>
  <c r="FL86" i="13" s="1"/>
  <c r="AZ89" i="13"/>
  <c r="BA89" i="13" s="1"/>
  <c r="BB89" i="13" s="1"/>
  <c r="FL89" i="13" s="1"/>
  <c r="AZ68" i="13"/>
  <c r="BA68" i="13" s="1"/>
  <c r="BB68" i="13" s="1"/>
  <c r="FL68" i="13" s="1"/>
  <c r="AZ92" i="13"/>
  <c r="BA92" i="13" s="1"/>
  <c r="BB92" i="13" s="1"/>
  <c r="FL92" i="13" s="1"/>
  <c r="AZ112" i="13"/>
  <c r="BA112" i="13" s="1"/>
  <c r="AZ83" i="13"/>
  <c r="BA83" i="13" s="1"/>
  <c r="BB83" i="13" s="1"/>
  <c r="FL83" i="13" s="1"/>
  <c r="AZ110" i="13"/>
  <c r="BA110" i="13" s="1"/>
  <c r="AZ135" i="13"/>
  <c r="BA135" i="13" s="1"/>
  <c r="AZ104" i="13"/>
  <c r="BA104" i="13" s="1"/>
  <c r="BB104" i="13" s="1"/>
  <c r="FL104" i="13" s="1"/>
  <c r="AZ131" i="13"/>
  <c r="BA131" i="13" s="1"/>
  <c r="BB131" i="13" s="1"/>
  <c r="FL131" i="13" s="1"/>
  <c r="AZ108" i="13"/>
  <c r="BA108" i="13" s="1"/>
  <c r="BB108" i="13" s="1"/>
  <c r="FL108" i="13" s="1"/>
  <c r="AZ33" i="13"/>
  <c r="BA33" i="13" s="1"/>
  <c r="BB33" i="13" s="1"/>
  <c r="FL33" i="13" s="1"/>
  <c r="AZ81" i="13"/>
  <c r="BA81" i="13" s="1"/>
  <c r="BB81" i="13" s="1"/>
  <c r="FL81" i="13" s="1"/>
  <c r="AZ99" i="13"/>
  <c r="BA99" i="13" s="1"/>
  <c r="BB99" i="13" s="1"/>
  <c r="FL99" i="13" s="1"/>
  <c r="AZ29" i="13"/>
  <c r="BA29" i="13" s="1"/>
  <c r="BB29" i="13" s="1"/>
  <c r="FL29" i="13" s="1"/>
  <c r="AZ28" i="13"/>
  <c r="BA28" i="13" s="1"/>
  <c r="BB28" i="13" s="1"/>
  <c r="FL28" i="13" s="1"/>
  <c r="AZ39" i="13"/>
  <c r="BA39" i="13" s="1"/>
  <c r="BB39" i="13" s="1"/>
  <c r="FL39" i="13" s="1"/>
  <c r="AZ55" i="13"/>
  <c r="BA55" i="13" s="1"/>
  <c r="BB55" i="13" s="1"/>
  <c r="FL55" i="13" s="1"/>
  <c r="AZ40" i="13"/>
  <c r="BA40" i="13" s="1"/>
  <c r="AZ46" i="13"/>
  <c r="BA46" i="13" s="1"/>
  <c r="BB46" i="13" s="1"/>
  <c r="FL46" i="13" s="1"/>
  <c r="AZ52" i="13"/>
  <c r="BA52" i="13" s="1"/>
  <c r="BB52" i="13" s="1"/>
  <c r="FL52" i="13" s="1"/>
  <c r="AZ73" i="13"/>
  <c r="BA73" i="13" s="1"/>
  <c r="BB73" i="13" s="1"/>
  <c r="FL73" i="13" s="1"/>
  <c r="AZ57" i="13"/>
  <c r="BA57" i="13" s="1"/>
  <c r="BB57" i="13" s="1"/>
  <c r="FL57" i="13" s="1"/>
  <c r="AZ90" i="13"/>
  <c r="BA90" i="13" s="1"/>
  <c r="AZ95" i="13"/>
  <c r="BA95" i="13" s="1"/>
  <c r="AZ117" i="13"/>
  <c r="BA117" i="13" s="1"/>
  <c r="BB117" i="13" s="1"/>
  <c r="FL117" i="13" s="1"/>
  <c r="AZ136" i="13"/>
  <c r="BA136" i="13" s="1"/>
  <c r="AZ132" i="13"/>
  <c r="BA132" i="13" s="1"/>
  <c r="BB132" i="13" s="1"/>
  <c r="FL132" i="13" s="1"/>
  <c r="AZ93" i="13"/>
  <c r="BA93" i="13" s="1"/>
  <c r="BB93" i="13" s="1"/>
  <c r="FL93" i="13" s="1"/>
  <c r="AZ72" i="13"/>
  <c r="BA72" i="13" s="1"/>
  <c r="BB72" i="13" s="1"/>
  <c r="FL72" i="13" s="1"/>
  <c r="AZ65" i="13"/>
  <c r="BA65" i="13" s="1"/>
  <c r="AZ127" i="13"/>
  <c r="BA127" i="13" s="1"/>
  <c r="BB127" i="13" s="1"/>
  <c r="FL127" i="13" s="1"/>
  <c r="AZ22" i="13"/>
  <c r="AZ31" i="13"/>
  <c r="BA31" i="13" s="1"/>
  <c r="BB31" i="13" s="1"/>
  <c r="FL31" i="13" s="1"/>
  <c r="AZ42" i="13"/>
  <c r="BA42" i="13" s="1"/>
  <c r="BB42" i="13" s="1"/>
  <c r="FL42" i="13" s="1"/>
  <c r="AZ30" i="13"/>
  <c r="BA30" i="13" s="1"/>
  <c r="AZ50" i="13"/>
  <c r="BA50" i="13" s="1"/>
  <c r="BB50" i="13" s="1"/>
  <c r="FL50" i="13" s="1"/>
  <c r="AZ20" i="13"/>
  <c r="AZ41" i="13"/>
  <c r="BA41" i="13" s="1"/>
  <c r="BB41" i="13" s="1"/>
  <c r="FL41" i="13" s="1"/>
  <c r="AZ63" i="13"/>
  <c r="BA63" i="13" s="1"/>
  <c r="BB63" i="13" s="1"/>
  <c r="FL63" i="13" s="1"/>
  <c r="AZ74" i="13"/>
  <c r="BA74" i="13" s="1"/>
  <c r="BB74" i="13" s="1"/>
  <c r="FL74" i="13" s="1"/>
  <c r="AZ87" i="13"/>
  <c r="BA87" i="13" s="1"/>
  <c r="BB87" i="13" s="1"/>
  <c r="FL87" i="13" s="1"/>
  <c r="AZ70" i="13"/>
  <c r="BA70" i="13" s="1"/>
  <c r="AZ96" i="13"/>
  <c r="BA96" i="13" s="1"/>
  <c r="BB96" i="13" s="1"/>
  <c r="FL96" i="13" s="1"/>
  <c r="AZ109" i="13"/>
  <c r="BA109" i="13" s="1"/>
  <c r="AZ67" i="13"/>
  <c r="BA67" i="13" s="1"/>
  <c r="AZ106" i="13"/>
  <c r="BA106" i="13" s="1"/>
  <c r="BB106" i="13" s="1"/>
  <c r="FL106" i="13" s="1"/>
  <c r="AZ100" i="13"/>
  <c r="BA100" i="13" s="1"/>
  <c r="AZ137" i="13"/>
  <c r="BA137" i="13" s="1"/>
  <c r="AZ124" i="13"/>
  <c r="BA124" i="13" s="1"/>
  <c r="AZ43" i="13"/>
  <c r="BA43" i="13" s="1"/>
  <c r="BB43" i="13" s="1"/>
  <c r="FL43" i="13" s="1"/>
  <c r="AZ21" i="13"/>
  <c r="AZ54" i="13"/>
  <c r="BA54" i="13" s="1"/>
  <c r="BB54" i="13" s="1"/>
  <c r="FL54" i="13" s="1"/>
  <c r="AZ45" i="13"/>
  <c r="BA45" i="13" s="1"/>
  <c r="BB45" i="13" s="1"/>
  <c r="FL45" i="13" s="1"/>
  <c r="AZ79" i="13"/>
  <c r="BA79" i="13" s="1"/>
  <c r="BB79" i="13" s="1"/>
  <c r="FL79" i="13" s="1"/>
  <c r="AZ88" i="13"/>
  <c r="BA88" i="13" s="1"/>
  <c r="BB88" i="13" s="1"/>
  <c r="FL88" i="13" s="1"/>
  <c r="AZ80" i="13"/>
  <c r="BA80" i="13" s="1"/>
  <c r="BB80" i="13" s="1"/>
  <c r="FL80" i="13" s="1"/>
  <c r="AZ97" i="13"/>
  <c r="BA97" i="13" s="1"/>
  <c r="BB97" i="13" s="1"/>
  <c r="FL97" i="13" s="1"/>
  <c r="AZ119" i="13"/>
  <c r="BA119" i="13" s="1"/>
  <c r="BB119" i="13" s="1"/>
  <c r="FL119" i="13" s="1"/>
  <c r="AZ120" i="13"/>
  <c r="BA120" i="13" s="1"/>
  <c r="BB120" i="13" s="1"/>
  <c r="FL120" i="13" s="1"/>
  <c r="AZ123" i="13"/>
  <c r="BA123" i="13" s="1"/>
  <c r="BB123" i="13" s="1"/>
  <c r="FL123" i="13" s="1"/>
  <c r="AZ129" i="13"/>
  <c r="BA129" i="13" s="1"/>
  <c r="BB129" i="13" s="1"/>
  <c r="FL129" i="13" s="1"/>
  <c r="AZ115" i="13"/>
  <c r="BA115" i="13" s="1"/>
  <c r="BB115" i="13" s="1"/>
  <c r="FL115" i="13" s="1"/>
  <c r="AZ126" i="13"/>
  <c r="BA126" i="13" s="1"/>
  <c r="BB126" i="13" s="1"/>
  <c r="FL126" i="13" s="1"/>
  <c r="AZ111" i="13"/>
  <c r="BA111" i="13" s="1"/>
  <c r="BB111" i="13" s="1"/>
  <c r="FL111" i="13" s="1"/>
  <c r="AZ113" i="13"/>
  <c r="BA113" i="13" s="1"/>
  <c r="AZ32" i="13"/>
  <c r="BA32" i="13" s="1"/>
  <c r="AZ25" i="13"/>
  <c r="BA25" i="13" s="1"/>
  <c r="BB25" i="13" s="1"/>
  <c r="FL25" i="13" s="1"/>
  <c r="AZ24" i="13"/>
  <c r="BA24" i="13" s="1"/>
  <c r="BB24" i="13" s="1"/>
  <c r="FL24" i="13" s="1"/>
  <c r="AZ23" i="13"/>
  <c r="BA23" i="13" s="1"/>
  <c r="AZ58" i="13"/>
  <c r="BA58" i="13" s="1"/>
  <c r="AZ75" i="13"/>
  <c r="BA75" i="13" s="1"/>
  <c r="BB75" i="13" s="1"/>
  <c r="FL75" i="13" s="1"/>
  <c r="AZ84" i="13"/>
  <c r="BA84" i="13" s="1"/>
  <c r="BB84" i="13" s="1"/>
  <c r="FL84" i="13" s="1"/>
  <c r="AZ56" i="13"/>
  <c r="BA56" i="13" s="1"/>
  <c r="BB56" i="13" s="1"/>
  <c r="FL56" i="13" s="1"/>
  <c r="AZ51" i="13"/>
  <c r="BA51" i="13" s="1"/>
  <c r="BB51" i="13" s="1"/>
  <c r="FL51" i="13" s="1"/>
  <c r="AZ69" i="13"/>
  <c r="BA69" i="13" s="1"/>
  <c r="AZ116" i="13"/>
  <c r="BA116" i="13" s="1"/>
  <c r="BB116" i="13" s="1"/>
  <c r="FL116" i="13" s="1"/>
  <c r="AZ130" i="13"/>
  <c r="BA130" i="13" s="1"/>
  <c r="BB130" i="13" s="1"/>
  <c r="FL130" i="13" s="1"/>
  <c r="AZ133" i="13"/>
  <c r="BA133" i="13" s="1"/>
  <c r="BB133" i="13" s="1"/>
  <c r="FL133" i="13" s="1"/>
  <c r="AZ118" i="13"/>
  <c r="BA118" i="13" s="1"/>
  <c r="BH104" i="13"/>
  <c r="GB104" i="13" s="1"/>
  <c r="BH37" i="13"/>
  <c r="GB37" i="13" s="1"/>
  <c r="BH90" i="13"/>
  <c r="GB90" i="13" s="1"/>
  <c r="BH126" i="13"/>
  <c r="GB126" i="13" s="1"/>
  <c r="BE128" i="13"/>
  <c r="FT128" i="13" s="1"/>
  <c r="BE108" i="13"/>
  <c r="FT108" i="13" s="1"/>
  <c r="BH96" i="13"/>
  <c r="GB96" i="13" s="1"/>
  <c r="BH79" i="13"/>
  <c r="GB79" i="13" s="1"/>
  <c r="BH41" i="13"/>
  <c r="GB41" i="13" s="1"/>
  <c r="BH52" i="13"/>
  <c r="GB52" i="13" s="1"/>
  <c r="BH64" i="13"/>
  <c r="GB64" i="13" s="1"/>
  <c r="BE33" i="13"/>
  <c r="FT33" i="13" s="1"/>
  <c r="BE121" i="13"/>
  <c r="FT121" i="13" s="1"/>
  <c r="BE95" i="13"/>
  <c r="FT95" i="13" s="1"/>
  <c r="BE29" i="13"/>
  <c r="FT29" i="13" s="1"/>
  <c r="BE130" i="13"/>
  <c r="FT130" i="13" s="1"/>
  <c r="BE28" i="13"/>
  <c r="FT28" i="13" s="1"/>
  <c r="BH39" i="13"/>
  <c r="GB39" i="13" s="1"/>
  <c r="BH77" i="13"/>
  <c r="GB77" i="13" s="1"/>
  <c r="BE39" i="13"/>
  <c r="FT39" i="13" s="1"/>
  <c r="BE71" i="13"/>
  <c r="FT71" i="13" s="1"/>
  <c r="BE103" i="13"/>
  <c r="FT103" i="13" s="1"/>
  <c r="BE84" i="13"/>
  <c r="FT84" i="13" s="1"/>
  <c r="BH115" i="13"/>
  <c r="GB115" i="13" s="1"/>
  <c r="BH46" i="13"/>
  <c r="GB46" i="13" s="1"/>
  <c r="BE61" i="13"/>
  <c r="FT61" i="13" s="1"/>
  <c r="BE75" i="13"/>
  <c r="FT75" i="13" s="1"/>
  <c r="BE113" i="13"/>
  <c r="FT113" i="13" s="1"/>
  <c r="BE40" i="13"/>
  <c r="FT40" i="13" s="1"/>
  <c r="BE72" i="13"/>
  <c r="FT72" i="13" s="1"/>
  <c r="BE106" i="13"/>
  <c r="FT106" i="13" s="1"/>
  <c r="BH70" i="13"/>
  <c r="GB70" i="13" s="1"/>
  <c r="BH40" i="13"/>
  <c r="GB40" i="13" s="1"/>
  <c r="BH75" i="13"/>
  <c r="GB75" i="13" s="1"/>
  <c r="BH93" i="13"/>
  <c r="GB93" i="13" s="1"/>
  <c r="BH135" i="13"/>
  <c r="GB135" i="13" s="1"/>
  <c r="BE54" i="13"/>
  <c r="FT54" i="13" s="1"/>
  <c r="BH66" i="13"/>
  <c r="GB66" i="13" s="1"/>
  <c r="BH89" i="13"/>
  <c r="GB89" i="13" s="1"/>
  <c r="BH44" i="13"/>
  <c r="GB44" i="13" s="1"/>
  <c r="BE49" i="13"/>
  <c r="FT49" i="13" s="1"/>
  <c r="BE114" i="13"/>
  <c r="FT114" i="13" s="1"/>
  <c r="BE99" i="13"/>
  <c r="FT99" i="13" s="1"/>
  <c r="BE24" i="13"/>
  <c r="FT24" i="13" s="1"/>
  <c r="BE111" i="13"/>
  <c r="FT111" i="13" s="1"/>
  <c r="BE46" i="13"/>
  <c r="FT46" i="13" s="1"/>
  <c r="BH127" i="13"/>
  <c r="GB127" i="13" s="1"/>
  <c r="BH65" i="13"/>
  <c r="GB65" i="13" s="1"/>
  <c r="BH119" i="13"/>
  <c r="GB119" i="13" s="1"/>
  <c r="BH124" i="13"/>
  <c r="GB124" i="13" s="1"/>
  <c r="BE110" i="13"/>
  <c r="FT110" i="13" s="1"/>
  <c r="BE53" i="13"/>
  <c r="FT53" i="13" s="1"/>
  <c r="BE42" i="13"/>
  <c r="FT42" i="13" s="1"/>
  <c r="BE65" i="13"/>
  <c r="FT65" i="13" s="1"/>
  <c r="BH49" i="13"/>
  <c r="GB49" i="13" s="1"/>
  <c r="BH61" i="13"/>
  <c r="GB61" i="13" s="1"/>
  <c r="BH86" i="13"/>
  <c r="GB86" i="13" s="1"/>
  <c r="BH88" i="13"/>
  <c r="GB88" i="13" s="1"/>
  <c r="BQ60" i="13"/>
  <c r="GZ60" i="13" s="1"/>
  <c r="BQ108" i="13"/>
  <c r="GZ108" i="13" s="1"/>
  <c r="BQ74" i="13"/>
  <c r="GZ74" i="13" s="1"/>
  <c r="BQ32" i="13"/>
  <c r="GZ32" i="13" s="1"/>
  <c r="BQ39" i="13"/>
  <c r="GZ39" i="13" s="1"/>
  <c r="BQ94" i="13"/>
  <c r="GZ94" i="13" s="1"/>
  <c r="BQ42" i="13"/>
  <c r="GZ42" i="13" s="1"/>
  <c r="BQ114" i="13"/>
  <c r="GZ114" i="13" s="1"/>
  <c r="BQ70" i="13"/>
  <c r="GZ70" i="13" s="1"/>
  <c r="BQ73" i="13"/>
  <c r="GZ73" i="13" s="1"/>
  <c r="BQ67" i="13"/>
  <c r="GZ67" i="13" s="1"/>
  <c r="BQ69" i="13"/>
  <c r="GZ69" i="13" s="1"/>
  <c r="BQ54" i="13"/>
  <c r="GZ54" i="13" s="1"/>
  <c r="BQ127" i="13"/>
  <c r="GZ127" i="13" s="1"/>
  <c r="BN90" i="13"/>
  <c r="GR90" i="13" s="1"/>
  <c r="BN39" i="13"/>
  <c r="GR39" i="13" s="1"/>
  <c r="BN98" i="13"/>
  <c r="GR98" i="13" s="1"/>
  <c r="BN91" i="13"/>
  <c r="GR91" i="13" s="1"/>
  <c r="BN38" i="13"/>
  <c r="GR38" i="13" s="1"/>
  <c r="BN84" i="13"/>
  <c r="GR84" i="13" s="1"/>
  <c r="BN134" i="13"/>
  <c r="GR134" i="13" s="1"/>
  <c r="BN31" i="13"/>
  <c r="GR31" i="13" s="1"/>
  <c r="BN66" i="13"/>
  <c r="GR66" i="13" s="1"/>
  <c r="BN121" i="13"/>
  <c r="GR121" i="13" s="1"/>
  <c r="BN102" i="13"/>
  <c r="GR102" i="13" s="1"/>
  <c r="BN83" i="13"/>
  <c r="GR83" i="13" s="1"/>
  <c r="BN29" i="13"/>
  <c r="GR29" i="13" s="1"/>
  <c r="BK96" i="13"/>
  <c r="GJ96" i="13" s="1"/>
  <c r="BK74" i="13"/>
  <c r="GJ74" i="13" s="1"/>
  <c r="BK94" i="13"/>
  <c r="GJ94" i="13" s="1"/>
  <c r="BK93" i="13"/>
  <c r="GJ93" i="13" s="1"/>
  <c r="BK25" i="13"/>
  <c r="GJ25" i="13" s="1"/>
  <c r="BK75" i="13"/>
  <c r="GJ75" i="13" s="1"/>
  <c r="BK132" i="13"/>
  <c r="GJ132" i="13" s="1"/>
  <c r="BK80" i="13"/>
  <c r="GJ80" i="13" s="1"/>
  <c r="BK122" i="13"/>
  <c r="GJ122" i="13" s="1"/>
  <c r="BK69" i="13"/>
  <c r="GJ69" i="13" s="1"/>
  <c r="BK45" i="13"/>
  <c r="GJ45" i="13" s="1"/>
  <c r="BK105" i="13"/>
  <c r="GJ105" i="13" s="1"/>
  <c r="BK134" i="13"/>
  <c r="GJ134" i="13" s="1"/>
  <c r="BK91" i="13"/>
  <c r="GJ91" i="13" s="1"/>
  <c r="BQ83" i="13"/>
  <c r="GZ83" i="13" s="1"/>
  <c r="BQ91" i="13"/>
  <c r="GZ91" i="13" s="1"/>
  <c r="BQ43" i="13"/>
  <c r="GZ43" i="13" s="1"/>
  <c r="BQ105" i="13"/>
  <c r="GZ105" i="13" s="1"/>
  <c r="BQ48" i="13"/>
  <c r="GZ48" i="13" s="1"/>
  <c r="BQ82" i="13"/>
  <c r="GZ82" i="13" s="1"/>
  <c r="BQ103" i="13"/>
  <c r="GZ103" i="13" s="1"/>
  <c r="BQ29" i="13"/>
  <c r="GZ29" i="13" s="1"/>
  <c r="BQ119" i="13"/>
  <c r="GZ119" i="13" s="1"/>
  <c r="BQ59" i="13"/>
  <c r="GZ59" i="13" s="1"/>
  <c r="BQ128" i="13"/>
  <c r="GZ128" i="13" s="1"/>
  <c r="BQ111" i="13"/>
  <c r="GZ111" i="13" s="1"/>
  <c r="BQ64" i="13"/>
  <c r="GZ64" i="13" s="1"/>
  <c r="BQ88" i="13"/>
  <c r="GZ88" i="13" s="1"/>
  <c r="BQ34" i="13"/>
  <c r="GZ34" i="13" s="1"/>
  <c r="BQ68" i="13"/>
  <c r="GZ68" i="13" s="1"/>
  <c r="BQ56" i="13"/>
  <c r="GZ56" i="13" s="1"/>
  <c r="BN77" i="13"/>
  <c r="GR77" i="13" s="1"/>
  <c r="BN50" i="13"/>
  <c r="GR50" i="13" s="1"/>
  <c r="BN116" i="13"/>
  <c r="GR116" i="13" s="1"/>
  <c r="BN55" i="13"/>
  <c r="GR55" i="13" s="1"/>
  <c r="BN25" i="13"/>
  <c r="GR25" i="13" s="1"/>
  <c r="BN103" i="13"/>
  <c r="GR103" i="13" s="1"/>
  <c r="BN24" i="13"/>
  <c r="GR24" i="13" s="1"/>
  <c r="BN23" i="13"/>
  <c r="GR23" i="13" s="1"/>
  <c r="BN112" i="13"/>
  <c r="GR112" i="13" s="1"/>
  <c r="BN41" i="13"/>
  <c r="GR41" i="13" s="1"/>
  <c r="BN96" i="13"/>
  <c r="GR96" i="13" s="1"/>
  <c r="BN78" i="13"/>
  <c r="GR78" i="13" s="1"/>
  <c r="BN135" i="13"/>
  <c r="GR135" i="13" s="1"/>
  <c r="BN34" i="13"/>
  <c r="GR34" i="13" s="1"/>
  <c r="BK117" i="13"/>
  <c r="GJ117" i="13" s="1"/>
  <c r="BK89" i="13"/>
  <c r="GJ89" i="13" s="1"/>
  <c r="BK90" i="13"/>
  <c r="GJ90" i="13" s="1"/>
  <c r="BK76" i="13"/>
  <c r="GJ76" i="13" s="1"/>
  <c r="BK119" i="13"/>
  <c r="GJ119" i="13" s="1"/>
  <c r="BK50" i="13"/>
  <c r="GJ50" i="13" s="1"/>
  <c r="BK68" i="13"/>
  <c r="GJ68" i="13" s="1"/>
  <c r="BK114" i="13"/>
  <c r="GJ114" i="13" s="1"/>
  <c r="BK67" i="13"/>
  <c r="GJ67" i="13" s="1"/>
  <c r="BK131" i="13"/>
  <c r="GJ131" i="13" s="1"/>
  <c r="BK37" i="13"/>
  <c r="GJ37" i="13" s="1"/>
  <c r="BK51" i="13"/>
  <c r="GJ51" i="13" s="1"/>
  <c r="BK36" i="13"/>
  <c r="GJ36" i="13" s="1"/>
  <c r="BK120" i="13"/>
  <c r="GJ120" i="13" s="1"/>
  <c r="BK87" i="13"/>
  <c r="GJ87" i="13" s="1"/>
  <c r="BQ110" i="13"/>
  <c r="GZ110" i="13" s="1"/>
  <c r="BQ53" i="13"/>
  <c r="GZ53" i="13" s="1"/>
  <c r="BQ37" i="13"/>
  <c r="GZ37" i="13" s="1"/>
  <c r="BQ72" i="13"/>
  <c r="GZ72" i="13" s="1"/>
  <c r="BQ98" i="13"/>
  <c r="GZ98" i="13" s="1"/>
  <c r="BQ104" i="13"/>
  <c r="GZ104" i="13" s="1"/>
  <c r="BQ112" i="13"/>
  <c r="GZ112" i="13" s="1"/>
  <c r="BQ55" i="13"/>
  <c r="GZ55" i="13" s="1"/>
  <c r="BQ123" i="13"/>
  <c r="GZ123" i="13" s="1"/>
  <c r="BQ97" i="13"/>
  <c r="GZ97" i="13" s="1"/>
  <c r="BQ66" i="13"/>
  <c r="GZ66" i="13" s="1"/>
  <c r="BQ23" i="13"/>
  <c r="GZ23" i="13" s="1"/>
  <c r="BQ93" i="13"/>
  <c r="GZ93" i="13" s="1"/>
  <c r="BN125" i="13"/>
  <c r="GR125" i="13" s="1"/>
  <c r="BN64" i="13"/>
  <c r="GR64" i="13" s="1"/>
  <c r="BN32" i="13"/>
  <c r="GR32" i="13" s="1"/>
  <c r="BN111" i="13"/>
  <c r="GR111" i="13" s="1"/>
  <c r="BN89" i="13"/>
  <c r="GR89" i="13" s="1"/>
  <c r="BN30" i="13"/>
  <c r="GR30" i="13" s="1"/>
  <c r="BN75" i="13"/>
  <c r="GR75" i="13" s="1"/>
  <c r="BN73" i="13"/>
  <c r="GR73" i="13" s="1"/>
  <c r="BN94" i="13"/>
  <c r="GR94" i="13" s="1"/>
  <c r="BN44" i="13"/>
  <c r="GR44" i="13" s="1"/>
  <c r="BN133" i="13"/>
  <c r="GR133" i="13" s="1"/>
  <c r="BN65" i="13"/>
  <c r="GR65" i="13" s="1"/>
  <c r="BN123" i="13"/>
  <c r="GR123" i="13" s="1"/>
  <c r="BN61" i="13"/>
  <c r="GR61" i="13" s="1"/>
  <c r="BK60" i="13"/>
  <c r="GJ60" i="13" s="1"/>
  <c r="BK104" i="13"/>
  <c r="GJ104" i="13" s="1"/>
  <c r="BK47" i="13"/>
  <c r="GJ47" i="13" s="1"/>
  <c r="BK41" i="13"/>
  <c r="GJ41" i="13" s="1"/>
  <c r="BK77" i="13"/>
  <c r="GJ77" i="13" s="1"/>
  <c r="BK102" i="13"/>
  <c r="GJ102" i="13" s="1"/>
  <c r="BK30" i="13"/>
  <c r="GJ30" i="13" s="1"/>
  <c r="BK83" i="13"/>
  <c r="GJ83" i="13" s="1"/>
  <c r="BK56" i="13"/>
  <c r="GJ56" i="13" s="1"/>
  <c r="BK124" i="13"/>
  <c r="GJ124" i="13" s="1"/>
  <c r="BQ124" i="13"/>
  <c r="GZ124" i="13" s="1"/>
  <c r="BQ80" i="13"/>
  <c r="GZ80" i="13" s="1"/>
  <c r="BQ135" i="13"/>
  <c r="GZ135" i="13" s="1"/>
  <c r="BQ33" i="13"/>
  <c r="GZ33" i="13" s="1"/>
  <c r="BQ95" i="13"/>
  <c r="GZ95" i="13" s="1"/>
  <c r="BQ115" i="13"/>
  <c r="GZ115" i="13" s="1"/>
  <c r="BQ100" i="13"/>
  <c r="GZ100" i="13" s="1"/>
  <c r="BQ24" i="13"/>
  <c r="GZ24" i="13" s="1"/>
  <c r="BQ107" i="13"/>
  <c r="GZ107" i="13" s="1"/>
  <c r="BQ81" i="13"/>
  <c r="GZ81" i="13" s="1"/>
  <c r="BQ109" i="13"/>
  <c r="GZ109" i="13" s="1"/>
  <c r="BQ62" i="13"/>
  <c r="GZ62" i="13" s="1"/>
  <c r="BQ27" i="13"/>
  <c r="GZ27" i="13" s="1"/>
  <c r="BQ87" i="13"/>
  <c r="GZ87" i="13" s="1"/>
  <c r="BN120" i="13"/>
  <c r="GR120" i="13" s="1"/>
  <c r="BN81" i="13"/>
  <c r="GR81" i="13" s="1"/>
  <c r="BN26" i="13"/>
  <c r="GR26" i="13" s="1"/>
  <c r="BN95" i="13"/>
  <c r="GR95" i="13" s="1"/>
  <c r="BN69" i="13"/>
  <c r="GR69" i="13" s="1"/>
  <c r="BN107" i="13"/>
  <c r="GR107" i="13" s="1"/>
  <c r="BN70" i="13"/>
  <c r="GR70" i="13" s="1"/>
  <c r="BN126" i="13"/>
  <c r="GR126" i="13" s="1"/>
  <c r="BN92" i="13"/>
  <c r="GR92" i="13" s="1"/>
  <c r="BN56" i="13"/>
  <c r="GR56" i="13" s="1"/>
  <c r="BN130" i="13"/>
  <c r="GR130" i="13" s="1"/>
  <c r="BN51" i="13"/>
  <c r="GR51" i="13" s="1"/>
  <c r="BN118" i="13"/>
  <c r="GR118" i="13" s="1"/>
  <c r="BN52" i="13"/>
  <c r="GR52" i="13" s="1"/>
  <c r="BK58" i="13"/>
  <c r="GJ58" i="13" s="1"/>
  <c r="BK35" i="13"/>
  <c r="GJ35" i="13" s="1"/>
  <c r="BK66" i="13"/>
  <c r="GJ66" i="13" s="1"/>
  <c r="BK130" i="13"/>
  <c r="GJ130" i="13" s="1"/>
  <c r="BK64" i="13"/>
  <c r="GJ64" i="13" s="1"/>
  <c r="BK86" i="13"/>
  <c r="GJ86" i="13" s="1"/>
  <c r="BK28" i="13"/>
  <c r="GJ28" i="13" s="1"/>
  <c r="BK108" i="13"/>
  <c r="GJ108" i="13" s="1"/>
  <c r="BK82" i="13"/>
  <c r="GJ82" i="13" s="1"/>
  <c r="BK128" i="13"/>
  <c r="GJ128" i="13" s="1"/>
  <c r="BK55" i="13"/>
  <c r="GJ55" i="13" s="1"/>
  <c r="BQ40" i="13"/>
  <c r="GZ40" i="13" s="1"/>
  <c r="BQ113" i="13"/>
  <c r="GZ113" i="13" s="1"/>
  <c r="BQ116" i="13"/>
  <c r="GZ116" i="13" s="1"/>
  <c r="BQ31" i="13"/>
  <c r="GZ31" i="13" s="1"/>
  <c r="BQ96" i="13"/>
  <c r="GZ96" i="13" s="1"/>
  <c r="BQ30" i="13"/>
  <c r="GZ30" i="13" s="1"/>
  <c r="BQ122" i="13"/>
  <c r="GZ122" i="13" s="1"/>
  <c r="BQ75" i="13"/>
  <c r="GZ75" i="13" s="1"/>
  <c r="BQ51" i="13"/>
  <c r="GZ51" i="13" s="1"/>
  <c r="BQ137" i="13"/>
  <c r="GZ137" i="13" s="1"/>
  <c r="BQ79" i="13"/>
  <c r="GZ79" i="13" s="1"/>
  <c r="BQ131" i="13"/>
  <c r="GZ131" i="13" s="1"/>
  <c r="BQ92" i="13"/>
  <c r="GZ92" i="13" s="1"/>
  <c r="BQ126" i="13"/>
  <c r="GZ126" i="13" s="1"/>
  <c r="BQ78" i="13"/>
  <c r="GZ78" i="13" s="1"/>
  <c r="BN47" i="13"/>
  <c r="GR47" i="13" s="1"/>
  <c r="BN62" i="13"/>
  <c r="GR62" i="13" s="1"/>
  <c r="BN48" i="13"/>
  <c r="GR48" i="13" s="1"/>
  <c r="BN85" i="13"/>
  <c r="GR85" i="13" s="1"/>
  <c r="BN35" i="13"/>
  <c r="GR35" i="13" s="1"/>
  <c r="BN131" i="13"/>
  <c r="GR131" i="13" s="1"/>
  <c r="BN80" i="13"/>
  <c r="GR80" i="13" s="1"/>
  <c r="BN117" i="13"/>
  <c r="GR117" i="13" s="1"/>
  <c r="BN132" i="13"/>
  <c r="GR132" i="13" s="1"/>
  <c r="BN110" i="13"/>
  <c r="GR110" i="13" s="1"/>
  <c r="BN37" i="13"/>
  <c r="GR37" i="13" s="1"/>
  <c r="BN86" i="13"/>
  <c r="GR86" i="13" s="1"/>
  <c r="BN33" i="13"/>
  <c r="GR33" i="13" s="1"/>
  <c r="BN101" i="13"/>
  <c r="GR101" i="13" s="1"/>
  <c r="BN63" i="13"/>
  <c r="GR63" i="13" s="1"/>
  <c r="BK46" i="13"/>
  <c r="GJ46" i="13" s="1"/>
  <c r="BK88" i="13"/>
  <c r="GJ88" i="13" s="1"/>
  <c r="BK54" i="13"/>
  <c r="GJ54" i="13" s="1"/>
  <c r="BK129" i="13"/>
  <c r="GJ129" i="13" s="1"/>
  <c r="BK48" i="13"/>
  <c r="GJ48" i="13" s="1"/>
  <c r="BK32" i="13"/>
  <c r="GJ32" i="13" s="1"/>
  <c r="BK71" i="13"/>
  <c r="GJ71" i="13" s="1"/>
  <c r="BK42" i="13"/>
  <c r="GJ42" i="13" s="1"/>
  <c r="BK62" i="13"/>
  <c r="GJ62" i="13" s="1"/>
  <c r="BK59" i="13"/>
  <c r="GJ59" i="13" s="1"/>
  <c r="BK29" i="13"/>
  <c r="GJ29" i="13" s="1"/>
  <c r="BK40" i="13"/>
  <c r="GJ40" i="13" s="1"/>
  <c r="BQ26" i="13"/>
  <c r="GZ26" i="13" s="1"/>
  <c r="BQ65" i="13"/>
  <c r="GZ65" i="13" s="1"/>
  <c r="BQ41" i="13"/>
  <c r="GZ41" i="13" s="1"/>
  <c r="BQ101" i="13"/>
  <c r="GZ101" i="13" s="1"/>
  <c r="BQ44" i="13"/>
  <c r="GZ44" i="13" s="1"/>
  <c r="BQ125" i="13"/>
  <c r="GZ125" i="13" s="1"/>
  <c r="BQ89" i="13"/>
  <c r="GZ89" i="13" s="1"/>
  <c r="BQ38" i="13"/>
  <c r="GZ38" i="13" s="1"/>
  <c r="BQ120" i="13"/>
  <c r="GZ120" i="13" s="1"/>
  <c r="BQ86" i="13"/>
  <c r="GZ86" i="13" s="1"/>
  <c r="BQ136" i="13"/>
  <c r="GZ136" i="13" s="1"/>
  <c r="BQ25" i="13"/>
  <c r="GZ25" i="13" s="1"/>
  <c r="BQ106" i="13"/>
  <c r="GZ106" i="13" s="1"/>
  <c r="BQ85" i="13"/>
  <c r="GZ85" i="13" s="1"/>
  <c r="BN122" i="13"/>
  <c r="GR122" i="13" s="1"/>
  <c r="BN58" i="13"/>
  <c r="GR58" i="13" s="1"/>
  <c r="BN93" i="13"/>
  <c r="GR93" i="13" s="1"/>
  <c r="BN88" i="13"/>
  <c r="GR88" i="13" s="1"/>
  <c r="BN119" i="13"/>
  <c r="GR119" i="13" s="1"/>
  <c r="BN71" i="13"/>
  <c r="GR71" i="13" s="1"/>
  <c r="BN113" i="13"/>
  <c r="GR113" i="13" s="1"/>
  <c r="BN97" i="13"/>
  <c r="GR97" i="13" s="1"/>
  <c r="BN129" i="13"/>
  <c r="GR129" i="13" s="1"/>
  <c r="BN106" i="13"/>
  <c r="GR106" i="13" s="1"/>
  <c r="BN46" i="13"/>
  <c r="GR46" i="13" s="1"/>
  <c r="BK126" i="13"/>
  <c r="GJ126" i="13" s="1"/>
  <c r="BK72" i="13"/>
  <c r="GJ72" i="13" s="1"/>
  <c r="BK44" i="13"/>
  <c r="GJ44" i="13" s="1"/>
  <c r="BK135" i="13"/>
  <c r="GJ135" i="13" s="1"/>
  <c r="BK31" i="13"/>
  <c r="GJ31" i="13" s="1"/>
  <c r="BK109" i="13"/>
  <c r="GJ109" i="13" s="1"/>
  <c r="BK57" i="13"/>
  <c r="GJ57" i="13" s="1"/>
  <c r="BK52" i="13"/>
  <c r="GJ52" i="13" s="1"/>
  <c r="BK73" i="13"/>
  <c r="GJ73" i="13" s="1"/>
  <c r="BK125" i="13"/>
  <c r="GJ125" i="13" s="1"/>
  <c r="BK33" i="13"/>
  <c r="GJ33" i="13" s="1"/>
  <c r="BK121" i="13"/>
  <c r="GJ121" i="13" s="1"/>
  <c r="BK39" i="13"/>
  <c r="GJ39" i="13" s="1"/>
  <c r="BQ57" i="13"/>
  <c r="GZ57" i="13" s="1"/>
  <c r="BQ99" i="13"/>
  <c r="GZ99" i="13" s="1"/>
  <c r="BQ50" i="13"/>
  <c r="GZ50" i="13" s="1"/>
  <c r="BQ121" i="13"/>
  <c r="GZ121" i="13" s="1"/>
  <c r="BQ77" i="13"/>
  <c r="GZ77" i="13" s="1"/>
  <c r="BQ49" i="13"/>
  <c r="GZ49" i="13" s="1"/>
  <c r="BQ102" i="13"/>
  <c r="GZ102" i="13" s="1"/>
  <c r="BQ63" i="13"/>
  <c r="GZ63" i="13" s="1"/>
  <c r="BQ133" i="13"/>
  <c r="GZ133" i="13" s="1"/>
  <c r="BQ134" i="13"/>
  <c r="GZ134" i="13" s="1"/>
  <c r="BQ61" i="13"/>
  <c r="GZ61" i="13" s="1"/>
  <c r="BN82" i="13"/>
  <c r="GR82" i="13" s="1"/>
  <c r="BN124" i="13"/>
  <c r="GR124" i="13" s="1"/>
  <c r="BN79" i="13"/>
  <c r="GR79" i="13" s="1"/>
  <c r="BN72" i="13"/>
  <c r="GR72" i="13" s="1"/>
  <c r="BN100" i="13"/>
  <c r="GR100" i="13" s="1"/>
  <c r="BN45" i="13"/>
  <c r="GR45" i="13" s="1"/>
  <c r="BN87" i="13"/>
  <c r="GR87" i="13" s="1"/>
  <c r="BN67" i="13"/>
  <c r="GR67" i="13" s="1"/>
  <c r="BN60" i="13"/>
  <c r="GR60" i="13" s="1"/>
  <c r="BN109" i="13"/>
  <c r="GR109" i="13" s="1"/>
  <c r="BN43" i="13"/>
  <c r="GR43" i="13" s="1"/>
  <c r="BN68" i="13"/>
  <c r="GR68" i="13" s="1"/>
  <c r="BN40" i="13"/>
  <c r="GR40" i="13" s="1"/>
  <c r="BK136" i="13"/>
  <c r="GJ136" i="13" s="1"/>
  <c r="BK92" i="13"/>
  <c r="GJ92" i="13" s="1"/>
  <c r="BK116" i="13"/>
  <c r="GJ116" i="13" s="1"/>
  <c r="BK118" i="13"/>
  <c r="GJ118" i="13" s="1"/>
  <c r="BK99" i="13"/>
  <c r="GJ99" i="13" s="1"/>
  <c r="BK110" i="13"/>
  <c r="GJ110" i="13" s="1"/>
  <c r="BK63" i="13"/>
  <c r="GJ63" i="13" s="1"/>
  <c r="BK24" i="13"/>
  <c r="GJ24" i="13" s="1"/>
  <c r="BK84" i="13"/>
  <c r="GJ84" i="13" s="1"/>
  <c r="BK34" i="13"/>
  <c r="GJ34" i="13" s="1"/>
  <c r="BK97" i="13"/>
  <c r="GJ97" i="13" s="1"/>
  <c r="BK43" i="13"/>
  <c r="GJ43" i="13" s="1"/>
  <c r="BK101" i="13"/>
  <c r="GJ101" i="13" s="1"/>
  <c r="BK26" i="13"/>
  <c r="GJ26" i="13" s="1"/>
  <c r="BQ117" i="13"/>
  <c r="GZ117" i="13" s="1"/>
  <c r="BQ129" i="13"/>
  <c r="GZ129" i="13" s="1"/>
  <c r="BQ90" i="13"/>
  <c r="GZ90" i="13" s="1"/>
  <c r="BQ84" i="13"/>
  <c r="GZ84" i="13" s="1"/>
  <c r="BQ58" i="13"/>
  <c r="GZ58" i="13" s="1"/>
  <c r="BQ28" i="13"/>
  <c r="GZ28" i="13" s="1"/>
  <c r="BQ76" i="13"/>
  <c r="GZ76" i="13" s="1"/>
  <c r="BQ132" i="13"/>
  <c r="GZ132" i="13" s="1"/>
  <c r="BQ47" i="13"/>
  <c r="GZ47" i="13" s="1"/>
  <c r="BQ118" i="13"/>
  <c r="GZ118" i="13" s="1"/>
  <c r="BQ35" i="13"/>
  <c r="GZ35" i="13" s="1"/>
  <c r="BN108" i="13"/>
  <c r="GR108" i="13" s="1"/>
  <c r="BN128" i="13"/>
  <c r="GR128" i="13" s="1"/>
  <c r="BN115" i="13"/>
  <c r="GR115" i="13" s="1"/>
  <c r="BN42" i="13"/>
  <c r="GR42" i="13" s="1"/>
  <c r="BN57" i="13"/>
  <c r="GR57" i="13" s="1"/>
  <c r="BN53" i="13"/>
  <c r="GR53" i="13" s="1"/>
  <c r="BN76" i="13"/>
  <c r="GR76" i="13" s="1"/>
  <c r="BN127" i="13"/>
  <c r="GR127" i="13" s="1"/>
  <c r="BN99" i="13"/>
  <c r="GR99" i="13" s="1"/>
  <c r="BN54" i="13"/>
  <c r="GR54" i="13" s="1"/>
  <c r="BN36" i="13"/>
  <c r="GR36" i="13" s="1"/>
  <c r="BK112" i="13"/>
  <c r="GJ112" i="13" s="1"/>
  <c r="BK81" i="13"/>
  <c r="GJ81" i="13" s="1"/>
  <c r="BK100" i="13"/>
  <c r="GJ100" i="13" s="1"/>
  <c r="BK103" i="13"/>
  <c r="GJ103" i="13" s="1"/>
  <c r="BK53" i="13"/>
  <c r="GJ53" i="13" s="1"/>
  <c r="BK61" i="13"/>
  <c r="GJ61" i="13" s="1"/>
  <c r="BK127" i="13"/>
  <c r="GJ127" i="13" s="1"/>
  <c r="BK111" i="13"/>
  <c r="GJ111" i="13" s="1"/>
  <c r="BK38" i="13"/>
  <c r="GJ38" i="13" s="1"/>
  <c r="BK70" i="13"/>
  <c r="GJ70" i="13" s="1"/>
  <c r="BK113" i="13"/>
  <c r="GJ113" i="13" s="1"/>
  <c r="BK95" i="13"/>
  <c r="GJ95" i="13" s="1"/>
  <c r="BK27" i="13"/>
  <c r="GJ27" i="13" s="1"/>
  <c r="BK85" i="13"/>
  <c r="GJ85" i="13" s="1"/>
  <c r="BK49" i="13"/>
  <c r="GJ49" i="13" s="1"/>
  <c r="AX22" i="13"/>
  <c r="BJ22" i="13"/>
  <c r="BP22" i="13"/>
  <c r="BM22" i="13"/>
  <c r="AU22" i="13"/>
  <c r="BG22" i="13"/>
  <c r="AR22" i="13"/>
  <c r="AO22" i="13"/>
  <c r="BD22" i="13"/>
  <c r="BA22" i="13"/>
  <c r="BJ19" i="13"/>
  <c r="BM19" i="13"/>
  <c r="BA19" i="13"/>
  <c r="AX19" i="13"/>
  <c r="BD19" i="13"/>
  <c r="BG19" i="13"/>
  <c r="AR19" i="13"/>
  <c r="AU19" i="13"/>
  <c r="BP19" i="13"/>
  <c r="BA21" i="13"/>
  <c r="BD21" i="13"/>
  <c r="AO21" i="13"/>
  <c r="BM21" i="13"/>
  <c r="AX21" i="13"/>
  <c r="BG21" i="13"/>
  <c r="AU21" i="13"/>
  <c r="BP21" i="13"/>
  <c r="AR21" i="13"/>
  <c r="BJ21" i="13"/>
  <c r="AU20" i="13"/>
  <c r="AR20" i="13"/>
  <c r="BM20" i="13"/>
  <c r="BG20" i="13"/>
  <c r="BD20" i="13"/>
  <c r="BJ20" i="13"/>
  <c r="BA20" i="13"/>
  <c r="AX20" i="13"/>
  <c r="AO20" i="13"/>
  <c r="BP20" i="13"/>
  <c r="AO19" i="13"/>
  <c r="GY19" i="13"/>
  <c r="GQ19" i="13"/>
  <c r="GI19" i="13"/>
  <c r="GA19" i="13"/>
  <c r="FT12" i="13" l="1"/>
  <c r="GB12" i="13"/>
  <c r="GY10" i="13"/>
  <c r="GX9" i="13" s="1"/>
  <c r="GY15" i="13"/>
  <c r="GX14" i="13" s="1"/>
  <c r="GA10" i="13"/>
  <c r="FZ9" i="13" s="1"/>
  <c r="GA15" i="13"/>
  <c r="FZ14" i="13" s="1"/>
  <c r="GI15" i="13"/>
  <c r="GH14" i="13" s="1"/>
  <c r="GI10" i="13"/>
  <c r="GH9" i="13" s="1"/>
  <c r="GQ15" i="13"/>
  <c r="GP14" i="13" s="1"/>
  <c r="GQ10" i="13"/>
  <c r="GP9" i="13" s="1"/>
  <c r="BB137" i="13"/>
  <c r="FL137" i="13" s="1"/>
  <c r="BB95" i="13"/>
  <c r="FL95" i="13" s="1"/>
  <c r="BB100" i="13"/>
  <c r="FL100" i="13" s="1"/>
  <c r="BB58" i="13"/>
  <c r="FL58" i="13" s="1"/>
  <c r="BB65" i="13"/>
  <c r="FL65" i="13" s="1"/>
  <c r="BB110" i="13"/>
  <c r="FL110" i="13" s="1"/>
  <c r="BB71" i="13"/>
  <c r="FL71" i="13" s="1"/>
  <c r="BB76" i="13"/>
  <c r="FL76" i="13" s="1"/>
  <c r="BB44" i="13"/>
  <c r="FL44" i="13" s="1"/>
  <c r="GR12" i="13"/>
  <c r="BB23" i="13"/>
  <c r="FL23" i="13" s="1"/>
  <c r="BB67" i="13"/>
  <c r="FL67" i="13" s="1"/>
  <c r="BB125" i="13"/>
  <c r="FL125" i="13" s="1"/>
  <c r="BB78" i="13"/>
  <c r="FL78" i="13" s="1"/>
  <c r="BB135" i="13"/>
  <c r="FL135" i="13" s="1"/>
  <c r="BB109" i="13"/>
  <c r="FL109" i="13" s="1"/>
  <c r="BB112" i="13"/>
  <c r="FL112" i="13" s="1"/>
  <c r="BB64" i="13"/>
  <c r="FL64" i="13" s="1"/>
  <c r="BB90" i="13"/>
  <c r="FL90" i="13" s="1"/>
  <c r="BB69" i="13"/>
  <c r="FL69" i="13" s="1"/>
  <c r="BB30" i="13"/>
  <c r="FL30" i="13" s="1"/>
  <c r="BB103" i="13"/>
  <c r="FL103" i="13" s="1"/>
  <c r="BB94" i="13"/>
  <c r="FL94" i="13" s="1"/>
  <c r="BB118" i="13"/>
  <c r="FL118" i="13" s="1"/>
  <c r="BB32" i="13"/>
  <c r="FL32" i="13" s="1"/>
  <c r="BB70" i="13"/>
  <c r="FL70" i="13" s="1"/>
  <c r="BB136" i="13"/>
  <c r="FL136" i="13" s="1"/>
  <c r="BB40" i="13"/>
  <c r="FL40" i="13" s="1"/>
  <c r="BB49" i="13"/>
  <c r="FL49" i="13" s="1"/>
  <c r="BB34" i="13"/>
  <c r="FL34" i="13" s="1"/>
  <c r="BB114" i="13"/>
  <c r="FL114" i="13" s="1"/>
  <c r="BB113" i="13"/>
  <c r="FL113" i="13" s="1"/>
  <c r="BB124" i="13"/>
  <c r="FL124" i="13" s="1"/>
  <c r="BB48" i="13"/>
  <c r="FL48" i="13" s="1"/>
  <c r="BB36" i="13"/>
  <c r="FL36" i="13" s="1"/>
  <c r="GJ12" i="13"/>
  <c r="GZ12" i="13"/>
  <c r="BE20" i="13"/>
  <c r="FT20" i="13" s="1"/>
  <c r="BH21" i="13"/>
  <c r="GB21" i="13" s="1"/>
  <c r="AS19" i="13"/>
  <c r="EN19" i="13" s="1"/>
  <c r="BE22" i="13"/>
  <c r="FT22" i="13" s="1"/>
  <c r="AY22" i="13"/>
  <c r="FD22" i="13" s="1"/>
  <c r="AV21" i="13"/>
  <c r="EV21" i="13" s="1"/>
  <c r="BN20" i="13"/>
  <c r="GR20" i="13" s="1"/>
  <c r="AP22" i="13"/>
  <c r="EF22" i="13" s="1"/>
  <c r="BQ20" i="13"/>
  <c r="GZ20" i="13" s="1"/>
  <c r="BE19" i="13"/>
  <c r="FT19" i="13" s="1"/>
  <c r="AS22" i="13"/>
  <c r="EN22" i="13" s="1"/>
  <c r="BK22" i="13"/>
  <c r="GJ22" i="13" s="1"/>
  <c r="AY21" i="13"/>
  <c r="FD21" i="13" s="1"/>
  <c r="AY19" i="13"/>
  <c r="FD19" i="13" s="1"/>
  <c r="BH22" i="13"/>
  <c r="GB22" i="13" s="1"/>
  <c r="BB22" i="13"/>
  <c r="FL22" i="13" s="1"/>
  <c r="AS20" i="13"/>
  <c r="EN20" i="13" s="1"/>
  <c r="AP21" i="13"/>
  <c r="EF21" i="13" s="1"/>
  <c r="BK21" i="13"/>
  <c r="GJ21" i="13" s="1"/>
  <c r="BE21" i="13"/>
  <c r="FT21" i="13" s="1"/>
  <c r="BB19" i="13"/>
  <c r="FL19" i="13" s="1"/>
  <c r="AV22" i="13"/>
  <c r="EV22" i="13" s="1"/>
  <c r="BH20" i="13"/>
  <c r="GB20" i="13" s="1"/>
  <c r="BH19" i="13"/>
  <c r="AV20" i="13"/>
  <c r="EV20" i="13" s="1"/>
  <c r="BB20" i="13"/>
  <c r="FL20" i="13" s="1"/>
  <c r="AV19" i="13"/>
  <c r="EV19" i="13" s="1"/>
  <c r="BN21" i="13"/>
  <c r="GR21" i="13" s="1"/>
  <c r="AP20" i="13"/>
  <c r="EF20" i="13" s="1"/>
  <c r="AY20" i="13"/>
  <c r="FD20" i="13" s="1"/>
  <c r="AS21" i="13"/>
  <c r="EN21" i="13" s="1"/>
  <c r="BB21" i="13"/>
  <c r="FL21" i="13" s="1"/>
  <c r="BN19" i="13"/>
  <c r="GR19" i="13" s="1"/>
  <c r="BN22" i="13"/>
  <c r="GR22" i="13" s="1"/>
  <c r="BK20" i="13"/>
  <c r="GJ20" i="13" s="1"/>
  <c r="BQ21" i="13"/>
  <c r="GZ21" i="13" s="1"/>
  <c r="BQ19" i="13"/>
  <c r="GZ19" i="13" s="1"/>
  <c r="BK19" i="13"/>
  <c r="GJ19" i="13" s="1"/>
  <c r="BQ22" i="13"/>
  <c r="GZ22" i="13" s="1"/>
  <c r="AP19" i="13"/>
  <c r="EF19" i="13" s="1"/>
  <c r="FS19" i="13"/>
  <c r="FK19" i="13"/>
  <c r="FC19" i="13"/>
  <c r="EU19" i="13"/>
  <c r="EM19" i="13"/>
  <c r="FL12" i="13" l="1"/>
  <c r="FL10" i="13"/>
  <c r="EM10" i="13"/>
  <c r="EL9" i="13" s="1"/>
  <c r="EM15" i="13"/>
  <c r="EL14" i="13" s="1"/>
  <c r="FC15" i="13"/>
  <c r="FB14" i="13" s="1"/>
  <c r="FC10" i="13"/>
  <c r="FB9" i="13" s="1"/>
  <c r="FK10" i="13"/>
  <c r="FJ9" i="13" s="1"/>
  <c r="FK15" i="13"/>
  <c r="FJ14" i="13" s="1"/>
  <c r="FS15" i="13"/>
  <c r="FR14" i="13" s="1"/>
  <c r="FS10" i="13"/>
  <c r="FR9" i="13" s="1"/>
  <c r="EU15" i="13"/>
  <c r="ET14" i="13" s="1"/>
  <c r="EU10" i="13"/>
  <c r="ET9" i="13" s="1"/>
  <c r="FD10" i="13"/>
  <c r="FD15" i="13" s="1"/>
  <c r="GB19" i="13"/>
  <c r="GB10" i="13" s="1"/>
  <c r="EN10" i="13"/>
  <c r="FT10" i="13"/>
  <c r="EV10" i="13"/>
  <c r="EV15" i="13" s="1"/>
  <c r="GZ10" i="13"/>
  <c r="GR10" i="13"/>
  <c r="GJ10" i="13"/>
  <c r="FE130" i="13"/>
  <c r="EW107" i="13"/>
  <c r="GS31" i="13"/>
  <c r="GK85" i="13"/>
  <c r="GK73" i="13"/>
  <c r="FU122" i="13"/>
  <c r="EO101" i="13"/>
  <c r="EG38" i="13"/>
  <c r="FE21" i="13"/>
  <c r="FE27" i="13"/>
  <c r="FE134" i="13"/>
  <c r="GK105" i="13"/>
  <c r="EO111" i="13"/>
  <c r="FU95" i="13"/>
  <c r="FM44" i="13"/>
  <c r="FM29" i="13"/>
  <c r="EW35" i="13"/>
  <c r="EW64" i="13"/>
  <c r="FE128" i="13"/>
  <c r="GC84" i="13"/>
  <c r="FM104" i="13"/>
  <c r="EG125" i="13"/>
  <c r="GC67" i="13"/>
  <c r="FE106" i="13"/>
  <c r="FM111" i="13"/>
  <c r="GK122" i="13"/>
  <c r="EO118" i="13"/>
  <c r="HA49" i="13"/>
  <c r="GS104" i="13"/>
  <c r="FU113" i="13"/>
  <c r="GS57" i="13"/>
  <c r="GS21" i="13"/>
  <c r="FM20" i="13"/>
  <c r="EW99" i="13"/>
  <c r="GS61" i="13"/>
  <c r="EW119" i="13"/>
  <c r="GS109" i="13"/>
  <c r="GS102" i="13"/>
  <c r="FE38" i="13"/>
  <c r="FU50" i="13"/>
  <c r="EG29" i="13"/>
  <c r="GS113" i="13"/>
  <c r="FE75" i="13"/>
  <c r="FU25" i="13"/>
  <c r="GK123" i="13"/>
  <c r="GK21" i="13"/>
  <c r="GS20" i="13"/>
  <c r="EW44" i="13"/>
  <c r="GS34" i="13"/>
  <c r="GC59" i="13"/>
  <c r="GS123" i="13"/>
  <c r="GS84" i="13"/>
  <c r="HA98" i="13"/>
  <c r="HA33" i="13"/>
  <c r="GC40" i="13"/>
  <c r="GS40" i="13"/>
  <c r="EG133" i="13"/>
  <c r="FM50" i="13"/>
  <c r="GS23" i="13"/>
  <c r="EW71" i="13"/>
  <c r="EW76" i="13"/>
  <c r="FM24" i="13"/>
  <c r="HA58" i="13"/>
  <c r="FU87" i="13"/>
  <c r="EW125" i="13"/>
  <c r="EW128" i="13"/>
  <c r="GC78" i="13"/>
  <c r="EG116" i="13"/>
  <c r="EG92" i="13"/>
  <c r="EW29" i="13"/>
  <c r="EG41" i="13"/>
  <c r="FM25" i="13"/>
  <c r="EW31" i="13"/>
  <c r="GS99" i="13"/>
  <c r="GC132" i="13"/>
  <c r="FM59" i="13"/>
  <c r="GK35" i="13"/>
  <c r="GC28" i="13"/>
  <c r="GC111" i="13"/>
  <c r="FM96" i="13"/>
  <c r="FM33" i="13"/>
  <c r="HA108" i="13"/>
  <c r="FM99" i="13"/>
  <c r="EW93" i="13"/>
  <c r="FU34" i="13"/>
  <c r="FU30" i="13"/>
  <c r="EO40" i="13"/>
  <c r="FU27" i="13"/>
  <c r="GC109" i="13"/>
  <c r="EO134" i="13"/>
  <c r="GK115" i="13"/>
  <c r="FU136" i="13"/>
  <c r="EW51" i="13"/>
  <c r="EW42" i="13"/>
  <c r="EW108" i="13"/>
  <c r="EO35" i="13"/>
  <c r="EW68" i="13"/>
  <c r="EO131" i="13"/>
  <c r="GK116" i="13"/>
  <c r="FM77" i="13"/>
  <c r="FM70" i="13"/>
  <c r="GS63" i="13"/>
  <c r="EO39" i="13"/>
  <c r="GK77" i="13"/>
  <c r="FU130" i="13"/>
  <c r="FE121" i="13"/>
  <c r="GC94" i="13"/>
  <c r="FU65" i="13"/>
  <c r="GK134" i="13"/>
  <c r="EO120" i="13"/>
  <c r="GS90" i="13"/>
  <c r="FU68" i="13"/>
  <c r="GS46" i="13"/>
  <c r="EW56" i="13"/>
  <c r="GK66" i="13"/>
  <c r="FU100" i="13"/>
  <c r="HA96" i="13"/>
  <c r="GK109" i="13"/>
  <c r="FM36" i="13"/>
  <c r="FM127" i="13"/>
  <c r="HA127" i="13"/>
  <c r="EW39" i="13"/>
  <c r="EW80" i="13"/>
  <c r="EW126" i="13"/>
  <c r="GK58" i="13"/>
  <c r="FM130" i="13"/>
  <c r="EG134" i="13"/>
  <c r="GS67" i="13"/>
  <c r="EO68" i="13"/>
  <c r="GS135" i="13"/>
  <c r="GC130" i="13"/>
  <c r="EO73" i="13"/>
  <c r="FU88" i="13"/>
  <c r="FE81" i="13"/>
  <c r="GC123" i="13"/>
  <c r="GS131" i="13"/>
  <c r="EW95" i="13"/>
  <c r="FU75" i="13"/>
  <c r="EW67" i="13"/>
  <c r="EG97" i="13"/>
  <c r="EO46" i="13"/>
  <c r="GC31" i="13"/>
  <c r="EW26" i="13"/>
  <c r="HA60" i="13"/>
  <c r="FE59" i="13"/>
  <c r="FU42" i="13"/>
  <c r="FM31" i="13"/>
  <c r="GC27" i="13"/>
  <c r="EW111" i="13"/>
  <c r="FM57" i="13"/>
  <c r="FU118" i="13"/>
  <c r="EW131" i="13"/>
  <c r="FU129" i="13"/>
  <c r="EW97" i="13"/>
  <c r="GC90" i="13"/>
  <c r="GS116" i="13"/>
  <c r="GS115" i="13"/>
  <c r="FM47" i="13"/>
  <c r="FM75" i="13"/>
  <c r="EG45" i="13"/>
  <c r="GS132" i="13"/>
  <c r="EW81" i="13"/>
  <c r="FM132" i="13"/>
  <c r="GK102" i="13"/>
  <c r="GK59" i="13"/>
  <c r="EW36" i="13"/>
  <c r="HA41" i="13"/>
  <c r="GK20" i="13"/>
  <c r="EW75" i="13"/>
  <c r="GK104" i="13"/>
  <c r="EO67" i="13"/>
  <c r="GC119" i="13"/>
  <c r="EW40" i="13"/>
  <c r="EG80" i="13"/>
  <c r="GK65" i="13"/>
  <c r="EG128" i="13"/>
  <c r="EG96" i="13"/>
  <c r="FM91" i="13"/>
  <c r="FE117" i="13"/>
  <c r="GC117" i="13"/>
  <c r="EG66" i="13"/>
  <c r="EG47" i="13"/>
  <c r="GC29" i="13"/>
  <c r="GK24" i="13"/>
  <c r="GC101" i="13"/>
  <c r="GS119" i="13"/>
  <c r="HA73" i="13"/>
  <c r="EO132" i="13"/>
  <c r="EO60" i="13"/>
  <c r="HA55" i="13"/>
  <c r="FM46" i="13"/>
  <c r="EO25" i="13"/>
  <c r="FE66" i="13"/>
  <c r="GK53" i="13"/>
  <c r="EO110" i="13"/>
  <c r="EG124" i="13"/>
  <c r="GC83" i="13"/>
  <c r="EO96" i="13"/>
  <c r="EO117" i="13"/>
  <c r="EO121" i="13"/>
  <c r="GC88" i="13"/>
  <c r="FU69" i="13"/>
  <c r="HA102" i="13"/>
  <c r="GK129" i="13"/>
  <c r="FE46" i="13"/>
  <c r="EO47" i="13"/>
  <c r="GK83" i="13"/>
  <c r="GK101" i="13"/>
  <c r="GS62" i="13"/>
  <c r="EG32" i="13"/>
  <c r="HA120" i="13"/>
  <c r="GC98" i="13"/>
  <c r="GC87" i="13"/>
  <c r="GK60" i="13"/>
  <c r="GK98" i="13"/>
  <c r="EG137" i="13"/>
  <c r="EO44" i="13"/>
  <c r="FU20" i="13"/>
  <c r="FE22" i="13"/>
  <c r="GC95" i="13"/>
  <c r="FM88" i="13"/>
  <c r="EW122" i="13"/>
  <c r="EW78" i="13"/>
  <c r="GS60" i="13"/>
  <c r="FE39" i="13"/>
  <c r="FM63" i="13"/>
  <c r="EG95" i="13"/>
  <c r="FE137" i="13"/>
  <c r="EW73" i="13"/>
  <c r="FM51" i="13"/>
  <c r="EW52" i="13"/>
  <c r="HA114" i="13"/>
  <c r="FU105" i="13"/>
  <c r="EO127" i="13"/>
  <c r="GC57" i="13"/>
  <c r="EW60" i="13"/>
  <c r="EG75" i="13"/>
  <c r="FM82" i="13"/>
  <c r="HA93" i="13"/>
  <c r="HA46" i="13"/>
  <c r="EO112" i="13"/>
  <c r="EW61" i="13"/>
  <c r="FU26" i="13"/>
  <c r="FE41" i="13"/>
  <c r="GS26" i="13"/>
  <c r="EG135" i="13"/>
  <c r="FU49" i="13"/>
  <c r="GC92" i="13"/>
  <c r="FU71" i="13"/>
  <c r="FU119" i="13"/>
  <c r="FM123" i="13"/>
  <c r="GC105" i="13"/>
  <c r="EO83" i="13"/>
  <c r="EW63" i="13"/>
  <c r="HA112" i="13"/>
  <c r="FE53" i="13"/>
  <c r="EG52" i="13"/>
  <c r="GS35" i="13"/>
  <c r="FM94" i="13"/>
  <c r="FE60" i="13"/>
  <c r="GC96" i="13"/>
  <c r="GK128" i="13"/>
  <c r="GK76" i="13"/>
  <c r="GC33" i="13"/>
  <c r="FU108" i="13"/>
  <c r="EW118" i="13"/>
  <c r="GS86" i="13"/>
  <c r="EG112" i="13"/>
  <c r="FU46" i="13"/>
  <c r="FM74" i="13"/>
  <c r="GK27" i="13"/>
  <c r="EO54" i="13"/>
  <c r="HA68" i="13"/>
  <c r="FE20" i="13"/>
  <c r="GC20" i="13"/>
  <c r="GC21" i="13"/>
  <c r="FE118" i="13"/>
  <c r="GC75" i="13"/>
  <c r="HA137" i="13"/>
  <c r="EG68" i="13"/>
  <c r="FM62" i="13"/>
  <c r="FU28" i="13"/>
  <c r="EO72" i="13"/>
  <c r="GC44" i="13"/>
  <c r="GS71" i="13"/>
  <c r="EO130" i="13"/>
  <c r="GC108" i="13"/>
  <c r="FE111" i="13"/>
  <c r="GC65" i="13"/>
  <c r="FM103" i="13"/>
  <c r="GC121" i="13"/>
  <c r="GC58" i="13"/>
  <c r="FE82" i="13"/>
  <c r="GK43" i="13"/>
  <c r="GS55" i="13"/>
  <c r="FU37" i="13"/>
  <c r="GS107" i="13"/>
  <c r="EW104" i="13"/>
  <c r="FE96" i="13"/>
  <c r="HA56" i="13"/>
  <c r="FE19" i="13"/>
  <c r="EW22" i="13"/>
  <c r="EW21" i="13"/>
  <c r="GC23" i="13"/>
  <c r="FE135" i="13"/>
  <c r="EO89" i="13"/>
  <c r="HA116" i="13"/>
  <c r="EW105" i="13"/>
  <c r="EG99" i="13"/>
  <c r="EG43" i="13"/>
  <c r="FE65" i="13"/>
  <c r="EW54" i="13"/>
  <c r="GS106" i="13"/>
  <c r="FE136" i="13"/>
  <c r="FU111" i="13"/>
  <c r="GC115" i="13"/>
  <c r="GC106" i="13"/>
  <c r="EO74" i="13"/>
  <c r="GS53" i="13"/>
  <c r="EG40" i="13"/>
  <c r="EG56" i="13"/>
  <c r="FU44" i="13"/>
  <c r="FM78" i="13"/>
  <c r="FE25" i="13"/>
  <c r="FM92" i="13"/>
  <c r="FU123" i="13"/>
  <c r="EG70" i="13"/>
  <c r="GC48" i="13"/>
  <c r="FM35" i="13"/>
  <c r="GS33" i="13"/>
  <c r="FU106" i="13"/>
  <c r="FE33" i="13"/>
  <c r="EG83" i="13"/>
  <c r="FE126" i="13"/>
  <c r="FM28" i="13"/>
  <c r="FM40" i="13"/>
  <c r="HA24" i="13"/>
  <c r="HA31" i="13"/>
  <c r="GS77" i="13"/>
  <c r="GS117" i="13"/>
  <c r="GS114" i="13"/>
  <c r="GS74" i="13"/>
  <c r="FE131" i="13"/>
  <c r="HA43" i="13"/>
  <c r="GC41" i="13"/>
  <c r="GK107" i="13"/>
  <c r="FU80" i="13"/>
  <c r="GK119" i="13"/>
  <c r="FM105" i="13"/>
  <c r="GS38" i="13"/>
  <c r="EW41" i="13"/>
  <c r="FU64" i="13"/>
  <c r="FE29" i="13"/>
  <c r="GS19" i="13"/>
  <c r="HA22" i="13"/>
  <c r="HA20" i="13"/>
  <c r="GK22" i="13"/>
  <c r="HA97" i="13"/>
  <c r="EG30" i="13"/>
  <c r="GS125" i="13"/>
  <c r="FU134" i="13"/>
  <c r="HA99" i="13"/>
  <c r="FE76" i="13"/>
  <c r="FM129" i="13"/>
  <c r="HA121" i="13"/>
  <c r="EG104" i="13"/>
  <c r="FM90" i="13"/>
  <c r="HA67" i="13"/>
  <c r="GK30" i="13"/>
  <c r="EW33" i="13"/>
  <c r="GK93" i="13"/>
  <c r="FE37" i="13"/>
  <c r="FU59" i="13"/>
  <c r="GC35" i="13"/>
  <c r="GK50" i="13"/>
  <c r="EG100" i="13"/>
  <c r="HA119" i="13"/>
  <c r="EG78" i="13"/>
  <c r="FM60" i="13"/>
  <c r="GC110" i="13"/>
  <c r="EG107" i="13"/>
  <c r="FM125" i="13"/>
  <c r="GS111" i="13"/>
  <c r="FU85" i="13"/>
  <c r="GS70" i="13"/>
  <c r="EO34" i="13"/>
  <c r="FU36" i="13"/>
  <c r="GS32" i="13"/>
  <c r="GC53" i="13"/>
  <c r="FM48" i="13"/>
  <c r="FE94" i="13"/>
  <c r="EO32" i="13"/>
  <c r="FE64" i="13"/>
  <c r="GS56" i="13"/>
  <c r="GK75" i="13"/>
  <c r="EG35" i="13"/>
  <c r="EG74" i="13"/>
  <c r="FE122" i="13"/>
  <c r="GC60" i="13"/>
  <c r="EG121" i="13"/>
  <c r="GK126" i="13"/>
  <c r="EO91" i="13"/>
  <c r="FU24" i="13"/>
  <c r="GS68" i="13"/>
  <c r="GC69" i="13"/>
  <c r="FM45" i="13"/>
  <c r="EW82" i="13"/>
  <c r="GS25" i="13"/>
  <c r="EG24" i="13"/>
  <c r="FU128" i="13"/>
  <c r="FE99" i="13"/>
  <c r="GC79" i="13"/>
  <c r="HA80" i="13"/>
  <c r="EO97" i="13"/>
  <c r="EW121" i="13"/>
  <c r="FM93" i="13"/>
  <c r="FU86" i="13"/>
  <c r="EO70" i="13"/>
  <c r="GC114" i="13"/>
  <c r="FM61" i="13"/>
  <c r="FE58" i="13"/>
  <c r="EO78" i="13"/>
  <c r="EW66" i="13"/>
  <c r="FE32" i="13"/>
  <c r="FU72" i="13"/>
  <c r="EW124" i="13"/>
  <c r="GS128" i="13"/>
  <c r="GS103" i="13"/>
  <c r="FE67" i="13"/>
  <c r="EO122" i="13"/>
  <c r="FM118" i="13"/>
  <c r="FU89" i="13"/>
  <c r="EG69" i="13"/>
  <c r="HA61" i="13"/>
  <c r="EG58" i="13"/>
  <c r="FE26" i="13"/>
  <c r="GC125" i="13"/>
  <c r="GS130" i="13"/>
  <c r="GK78" i="13"/>
  <c r="EW45" i="13"/>
  <c r="GC26" i="13"/>
  <c r="FU38" i="13"/>
  <c r="FM134" i="13"/>
  <c r="GC102" i="13"/>
  <c r="EW129" i="13"/>
  <c r="FE127" i="13"/>
  <c r="GC104" i="13"/>
  <c r="EO24" i="13"/>
  <c r="HA113" i="13"/>
  <c r="FE48" i="13"/>
  <c r="GC74" i="13"/>
  <c r="FU124" i="13"/>
  <c r="GC76" i="13"/>
  <c r="GS43" i="13"/>
  <c r="HA77" i="13"/>
  <c r="EG65" i="13"/>
  <c r="EO99" i="13"/>
  <c r="EO105" i="13"/>
  <c r="EW116" i="13"/>
  <c r="GK113" i="13"/>
  <c r="EW100" i="13"/>
  <c r="EW59" i="13"/>
  <c r="EW23" i="13"/>
  <c r="HA87" i="13"/>
  <c r="FU53" i="13"/>
  <c r="EG90" i="13"/>
  <c r="GC70" i="13"/>
  <c r="FM54" i="13"/>
  <c r="EG79" i="13"/>
  <c r="FU43" i="13"/>
  <c r="EW112" i="13"/>
  <c r="FU97" i="13"/>
  <c r="GS118" i="13"/>
  <c r="EG88" i="13"/>
  <c r="GK68" i="13"/>
  <c r="FU58" i="13"/>
  <c r="GS93" i="13"/>
  <c r="EO80" i="13"/>
  <c r="FU115" i="13"/>
  <c r="FE101" i="13"/>
  <c r="FM115" i="13"/>
  <c r="FU61" i="13"/>
  <c r="HA62" i="13"/>
  <c r="EG44" i="13"/>
  <c r="GS37" i="13"/>
  <c r="EW91" i="13"/>
  <c r="EG122" i="13"/>
  <c r="HA133" i="13"/>
  <c r="EG103" i="13"/>
  <c r="EW110" i="13"/>
  <c r="GS127" i="13"/>
  <c r="GS137" i="13"/>
  <c r="HA92" i="13"/>
  <c r="GC56" i="13"/>
  <c r="GK34" i="13"/>
  <c r="FM64" i="13"/>
  <c r="GK70" i="13"/>
  <c r="FE40" i="13"/>
  <c r="EO49" i="13"/>
  <c r="EO37" i="13"/>
  <c r="EO33" i="13"/>
  <c r="EO103" i="13"/>
  <c r="FU93" i="13"/>
  <c r="EG131" i="13"/>
  <c r="EW90" i="13"/>
  <c r="EG81" i="13"/>
  <c r="FM97" i="13"/>
  <c r="HA128" i="13"/>
  <c r="EO135" i="13"/>
  <c r="FE87" i="13"/>
  <c r="GK112" i="13"/>
  <c r="HA126" i="13"/>
  <c r="GK67" i="13"/>
  <c r="EO62" i="13"/>
  <c r="EW53" i="13"/>
  <c r="GS27" i="13"/>
  <c r="EW30" i="13"/>
  <c r="EG48" i="13"/>
  <c r="FU82" i="13"/>
  <c r="EO95" i="13"/>
  <c r="FU81" i="13"/>
  <c r="EO19" i="13"/>
  <c r="EG49" i="13"/>
  <c r="FU63" i="13"/>
  <c r="FE104" i="13"/>
  <c r="EO133" i="13"/>
  <c r="HA78" i="13"/>
  <c r="HA48" i="13"/>
  <c r="GK63" i="13"/>
  <c r="EW94" i="13"/>
  <c r="GS65" i="13"/>
  <c r="EG54" i="13"/>
  <c r="GS92" i="13"/>
  <c r="GK82" i="13"/>
  <c r="FM133" i="13"/>
  <c r="EG102" i="13"/>
  <c r="GK120" i="13"/>
  <c r="EO48" i="13"/>
  <c r="HA66" i="13"/>
  <c r="EO50" i="13"/>
  <c r="EO27" i="13"/>
  <c r="FM122" i="13"/>
  <c r="FE84" i="13"/>
  <c r="FE125" i="13"/>
  <c r="EO82" i="13"/>
  <c r="FM66" i="13"/>
  <c r="EO30" i="13"/>
  <c r="FE70" i="13"/>
  <c r="FM85" i="13"/>
  <c r="EG119" i="13"/>
  <c r="EW89" i="13"/>
  <c r="FE108" i="13"/>
  <c r="FM38" i="13"/>
  <c r="FU79" i="13"/>
  <c r="GC45" i="13"/>
  <c r="EO119" i="13"/>
  <c r="EO88" i="13"/>
  <c r="GK132" i="13"/>
  <c r="GS69" i="13"/>
  <c r="EW127" i="13"/>
  <c r="FM67" i="13"/>
  <c r="FE51" i="13"/>
  <c r="FU112" i="13"/>
  <c r="GK25" i="13"/>
  <c r="GS45" i="13"/>
  <c r="GC77" i="13"/>
  <c r="FU103" i="13"/>
  <c r="FM58" i="13"/>
  <c r="FE44" i="13"/>
  <c r="HA21" i="13"/>
  <c r="FM21" i="13"/>
  <c r="EW20" i="13"/>
  <c r="GK29" i="13"/>
  <c r="FM101" i="13"/>
  <c r="EG72" i="13"/>
  <c r="HA129" i="13"/>
  <c r="HA89" i="13"/>
  <c r="GC128" i="13"/>
  <c r="FM136" i="13"/>
  <c r="GK106" i="13"/>
  <c r="GC82" i="13"/>
  <c r="EW84" i="13"/>
  <c r="EG55" i="13"/>
  <c r="FU56" i="13"/>
  <c r="EG51" i="13"/>
  <c r="EO28" i="13"/>
  <c r="EG28" i="13"/>
  <c r="HA26" i="13"/>
  <c r="FM106" i="13"/>
  <c r="HA76" i="13"/>
  <c r="HA122" i="13"/>
  <c r="GC131" i="13"/>
  <c r="FE55" i="13"/>
  <c r="EW96" i="13"/>
  <c r="FU78" i="13"/>
  <c r="FM23" i="13"/>
  <c r="GS28" i="13"/>
  <c r="FU99" i="13"/>
  <c r="FM41" i="13"/>
  <c r="GK33" i="13"/>
  <c r="GC68" i="13"/>
  <c r="EG93" i="13"/>
  <c r="GK87" i="13"/>
  <c r="FU120" i="13"/>
  <c r="GK90" i="13"/>
  <c r="EG84" i="13"/>
  <c r="EG117" i="13"/>
  <c r="GK130" i="13"/>
  <c r="FM135" i="13"/>
  <c r="FM107" i="13"/>
  <c r="EG98" i="13"/>
  <c r="GC64" i="13"/>
  <c r="GC63" i="13"/>
  <c r="HA40" i="13"/>
  <c r="HA36" i="13"/>
  <c r="GC73" i="13"/>
  <c r="GS36" i="13"/>
  <c r="GK110" i="13"/>
  <c r="FM124" i="13"/>
  <c r="EG136" i="13"/>
  <c r="GS95" i="13"/>
  <c r="HA88" i="13"/>
  <c r="EW115" i="13"/>
  <c r="EO136" i="13"/>
  <c r="EO38" i="13"/>
  <c r="GC85" i="13"/>
  <c r="EG76" i="13"/>
  <c r="HA106" i="13"/>
  <c r="GS52" i="13"/>
  <c r="EG39" i="13"/>
  <c r="FM71" i="13"/>
  <c r="GK55" i="13"/>
  <c r="GK127" i="13"/>
  <c r="FE92" i="13"/>
  <c r="GS110" i="13"/>
  <c r="FU70" i="13"/>
  <c r="GS126" i="13"/>
  <c r="FM120" i="13"/>
  <c r="EO109" i="13"/>
  <c r="HA107" i="13"/>
  <c r="FU76" i="13"/>
  <c r="GS101" i="13"/>
  <c r="EG127" i="13"/>
  <c r="EW57" i="13"/>
  <c r="EO63" i="13"/>
  <c r="FM42" i="13"/>
  <c r="FU52" i="13"/>
  <c r="HA25" i="13"/>
  <c r="EO56" i="13"/>
  <c r="GS47" i="13"/>
  <c r="EW83" i="13"/>
  <c r="EG132" i="13"/>
  <c r="FM114" i="13"/>
  <c r="GS124" i="13"/>
  <c r="EW47" i="13"/>
  <c r="FE93" i="13"/>
  <c r="FM72" i="13"/>
  <c r="FE116" i="13"/>
  <c r="FM116" i="13"/>
  <c r="HA51" i="13"/>
  <c r="HA83" i="13"/>
  <c r="GS79" i="13"/>
  <c r="EW37" i="13"/>
  <c r="GS39" i="13"/>
  <c r="FM86" i="13"/>
  <c r="FM49" i="13"/>
  <c r="GK42" i="13"/>
  <c r="FU98" i="13"/>
  <c r="GS78" i="13"/>
  <c r="EO113" i="13"/>
  <c r="FU73" i="13"/>
  <c r="GC54" i="13"/>
  <c r="HA105" i="13"/>
  <c r="FU135" i="13"/>
  <c r="FU66" i="13"/>
  <c r="FE91" i="13"/>
  <c r="GK86" i="13"/>
  <c r="EO36" i="13"/>
  <c r="HA69" i="13"/>
  <c r="FE105" i="13"/>
  <c r="GS50" i="13"/>
  <c r="EG89" i="13"/>
  <c r="GK56" i="13"/>
  <c r="FE113" i="13"/>
  <c r="FM83" i="13"/>
  <c r="EG105" i="13"/>
  <c r="FE50" i="13"/>
  <c r="FU29" i="13"/>
  <c r="GC91" i="13"/>
  <c r="EG36" i="13"/>
  <c r="GC22" i="13"/>
  <c r="GS29" i="13"/>
  <c r="FM102" i="13"/>
  <c r="HA117" i="13"/>
  <c r="GC100" i="13"/>
  <c r="EW74" i="13"/>
  <c r="GC124" i="13"/>
  <c r="GC122" i="13"/>
  <c r="FE80" i="13"/>
  <c r="FE79" i="13"/>
  <c r="GK91" i="13"/>
  <c r="EO43" i="13"/>
  <c r="GS42" i="13"/>
  <c r="FU51" i="13"/>
  <c r="HA32" i="13"/>
  <c r="GC71" i="13"/>
  <c r="EO106" i="13"/>
  <c r="FM79" i="13"/>
  <c r="GS120" i="13"/>
  <c r="GC120" i="13"/>
  <c r="GK79" i="13"/>
  <c r="EG63" i="13"/>
  <c r="GS75" i="13"/>
  <c r="HA136" i="13"/>
  <c r="GK135" i="13"/>
  <c r="FM110" i="13"/>
  <c r="GK88" i="13"/>
  <c r="GK26" i="13"/>
  <c r="EW92" i="13"/>
  <c r="FE63" i="13"/>
  <c r="FU60" i="13"/>
  <c r="EW38" i="13"/>
  <c r="EO69" i="13"/>
  <c r="HA35" i="13"/>
  <c r="GS108" i="13"/>
  <c r="FE68" i="13"/>
  <c r="GK124" i="13"/>
  <c r="EW132" i="13"/>
  <c r="FE107" i="13"/>
  <c r="EW79" i="13"/>
  <c r="EO58" i="13"/>
  <c r="GS136" i="13"/>
  <c r="GK117" i="13"/>
  <c r="HA44" i="13"/>
  <c r="FE77" i="13"/>
  <c r="GK28" i="13"/>
  <c r="GS98" i="13"/>
  <c r="GC52" i="13"/>
  <c r="FM56" i="13"/>
  <c r="FM43" i="13"/>
  <c r="GS88" i="13"/>
  <c r="FE52" i="13"/>
  <c r="GC24" i="13"/>
  <c r="HA101" i="13"/>
  <c r="GS80" i="13"/>
  <c r="EO115" i="13"/>
  <c r="FE114" i="13"/>
  <c r="EW28" i="13"/>
  <c r="EO84" i="13"/>
  <c r="HA71" i="13"/>
  <c r="FE112" i="13"/>
  <c r="FE133" i="13"/>
  <c r="FM112" i="13"/>
  <c r="HA100" i="13"/>
  <c r="FU91" i="13"/>
  <c r="GK51" i="13"/>
  <c r="FU55" i="13"/>
  <c r="EO26" i="13"/>
  <c r="GK137" i="13"/>
  <c r="FM98" i="13"/>
  <c r="FE72" i="13"/>
  <c r="FU109" i="13"/>
  <c r="EG123" i="13"/>
  <c r="HA38" i="13"/>
  <c r="GS94" i="13"/>
  <c r="FU110" i="13"/>
  <c r="FE120" i="13"/>
  <c r="FE123" i="13"/>
  <c r="GK69" i="13"/>
  <c r="GC61" i="13"/>
  <c r="EO55" i="13"/>
  <c r="GC50" i="13"/>
  <c r="FE30" i="13"/>
  <c r="FE89" i="13"/>
  <c r="EW62" i="13"/>
  <c r="FU35" i="13"/>
  <c r="EG101" i="13"/>
  <c r="GS97" i="13"/>
  <c r="FU132" i="13"/>
  <c r="EO98" i="13"/>
  <c r="EO81" i="13"/>
  <c r="GC81" i="13"/>
  <c r="HA104" i="13"/>
  <c r="GK118" i="13"/>
  <c r="GC113" i="13"/>
  <c r="EW87" i="13"/>
  <c r="GS73" i="13"/>
  <c r="EW34" i="13"/>
  <c r="GC66" i="13"/>
  <c r="EG64" i="13"/>
  <c r="EW24" i="13"/>
  <c r="FM34" i="13"/>
  <c r="FE129" i="13"/>
  <c r="FM84" i="13"/>
  <c r="GS64" i="13"/>
  <c r="EO104" i="13"/>
  <c r="GK125" i="13"/>
  <c r="GS122" i="13"/>
  <c r="HA81" i="13"/>
  <c r="FU84" i="13"/>
  <c r="FM121" i="13"/>
  <c r="GC126" i="13"/>
  <c r="EO64" i="13"/>
  <c r="HA54" i="13"/>
  <c r="GK44" i="13"/>
  <c r="FE34" i="13"/>
  <c r="HA85" i="13"/>
  <c r="HA65" i="13"/>
  <c r="GC36" i="13"/>
  <c r="EO86" i="13"/>
  <c r="EO76" i="13"/>
  <c r="EO77" i="13"/>
  <c r="GK54" i="13"/>
  <c r="FM30" i="13"/>
  <c r="FM73" i="13"/>
  <c r="EW58" i="13"/>
  <c r="EO75" i="13"/>
  <c r="GK36" i="13"/>
  <c r="EG106" i="13"/>
  <c r="GC34" i="13"/>
  <c r="FU33" i="13"/>
  <c r="GC30" i="13"/>
  <c r="EW70" i="13"/>
  <c r="GK95" i="13"/>
  <c r="FM126" i="13"/>
  <c r="EG67" i="13"/>
  <c r="FM137" i="13"/>
  <c r="FU48" i="13"/>
  <c r="GK92" i="13"/>
  <c r="EG20" i="13"/>
  <c r="GK37" i="13"/>
  <c r="EO79" i="13"/>
  <c r="HA109" i="13"/>
  <c r="EW48" i="13"/>
  <c r="GC38" i="13"/>
  <c r="EW113" i="13"/>
  <c r="EO31" i="13"/>
  <c r="HA52" i="13"/>
  <c r="FM87" i="13"/>
  <c r="GK96" i="13"/>
  <c r="HA132" i="13"/>
  <c r="GK84" i="13"/>
  <c r="EO107" i="13"/>
  <c r="GS83" i="13"/>
  <c r="EG118" i="13"/>
  <c r="FE132" i="13"/>
  <c r="EW98" i="13"/>
  <c r="EG87" i="13"/>
  <c r="GS76" i="13"/>
  <c r="HA53" i="13"/>
  <c r="HA42" i="13"/>
  <c r="GC25" i="13"/>
  <c r="HA63" i="13"/>
  <c r="EO23" i="13"/>
  <c r="GK94" i="13"/>
  <c r="EG62" i="13"/>
  <c r="EO114" i="13"/>
  <c r="EW136" i="13"/>
  <c r="EW102" i="13"/>
  <c r="EG73" i="13"/>
  <c r="FE90" i="13"/>
  <c r="FE103" i="13"/>
  <c r="HA124" i="13"/>
  <c r="GC134" i="13"/>
  <c r="GC93" i="13"/>
  <c r="FU83" i="13"/>
  <c r="FE62" i="13"/>
  <c r="GC46" i="13"/>
  <c r="EG37" i="13"/>
  <c r="HA37" i="13"/>
  <c r="EO53" i="13"/>
  <c r="GK38" i="13"/>
  <c r="FM95" i="13"/>
  <c r="EG108" i="13"/>
  <c r="HA91" i="13"/>
  <c r="GC97" i="13"/>
  <c r="FM117" i="13"/>
  <c r="FU114" i="13"/>
  <c r="FM108" i="13"/>
  <c r="EW88" i="13"/>
  <c r="GC103" i="13"/>
  <c r="GC127" i="13"/>
  <c r="EW117" i="13"/>
  <c r="HA103" i="13"/>
  <c r="FM52" i="13"/>
  <c r="GS44" i="13"/>
  <c r="EO57" i="13"/>
  <c r="GC37" i="13"/>
  <c r="GK80" i="13"/>
  <c r="FM65" i="13"/>
  <c r="GS100" i="13"/>
  <c r="EW130" i="13"/>
  <c r="GC62" i="13"/>
  <c r="FM80" i="13"/>
  <c r="FE124" i="13"/>
  <c r="EO124" i="13"/>
  <c r="FE115" i="13"/>
  <c r="EG111" i="13"/>
  <c r="EG61" i="13"/>
  <c r="HA111" i="13"/>
  <c r="FU131" i="13"/>
  <c r="FU62" i="13"/>
  <c r="FU39" i="13"/>
  <c r="HA39" i="13"/>
  <c r="GC32" i="13"/>
  <c r="EO29" i="13"/>
  <c r="GK48" i="13"/>
  <c r="GK61" i="13"/>
  <c r="EG27" i="13"/>
  <c r="GS30" i="13"/>
  <c r="FE88" i="13"/>
  <c r="EW133" i="13"/>
  <c r="FU96" i="13"/>
  <c r="EW103" i="13"/>
  <c r="FU116" i="13"/>
  <c r="EW101" i="13"/>
  <c r="FE86" i="13"/>
  <c r="EW86" i="13"/>
  <c r="FU40" i="13"/>
  <c r="GC80" i="13"/>
  <c r="HA59" i="13"/>
  <c r="GS58" i="13"/>
  <c r="FU23" i="13"/>
  <c r="GS134" i="13"/>
  <c r="EW43" i="13"/>
  <c r="EG86" i="13"/>
  <c r="EO71" i="13"/>
  <c r="EG126" i="13"/>
  <c r="HA131" i="13"/>
  <c r="FM53" i="13"/>
  <c r="HA75" i="13"/>
  <c r="EW77" i="13"/>
  <c r="FU101" i="13"/>
  <c r="FM37" i="13"/>
  <c r="GK41" i="13"/>
  <c r="FE42" i="13"/>
  <c r="EO87" i="13"/>
  <c r="EO42" i="13"/>
  <c r="EG22" i="13"/>
  <c r="FM131" i="13"/>
  <c r="GS72" i="13"/>
  <c r="EG115" i="13"/>
  <c r="GK23" i="13"/>
  <c r="EO85" i="13"/>
  <c r="EO116" i="13"/>
  <c r="GS54" i="13"/>
  <c r="HA30" i="13"/>
  <c r="FE24" i="13"/>
  <c r="FM39" i="13"/>
  <c r="FU67" i="13"/>
  <c r="EW32" i="13"/>
  <c r="GK89" i="13"/>
  <c r="FU133" i="13"/>
  <c r="EO137" i="13"/>
  <c r="FE73" i="13"/>
  <c r="FE109" i="13"/>
  <c r="HA47" i="13"/>
  <c r="FE47" i="13"/>
  <c r="GK72" i="13"/>
  <c r="EO20" i="13"/>
  <c r="FU127" i="13"/>
  <c r="EG114" i="13"/>
  <c r="FM22" i="13"/>
  <c r="EO22" i="13"/>
  <c r="GS22" i="13"/>
  <c r="EG34" i="13"/>
  <c r="EW135" i="13"/>
  <c r="EO21" i="13"/>
  <c r="FU22" i="13"/>
  <c r="EG42" i="13"/>
  <c r="EO94" i="13"/>
  <c r="FM89" i="13"/>
  <c r="GS105" i="13"/>
  <c r="FM128" i="13"/>
  <c r="FU137" i="13"/>
  <c r="GS85" i="13"/>
  <c r="EG130" i="13"/>
  <c r="GC129" i="13"/>
  <c r="GS82" i="13"/>
  <c r="GK57" i="13"/>
  <c r="FU57" i="13"/>
  <c r="FU21" i="13"/>
  <c r="EG25" i="13"/>
  <c r="EW137" i="13"/>
  <c r="GS87" i="13"/>
  <c r="HA74" i="13"/>
  <c r="FM109" i="13"/>
  <c r="GK136" i="13"/>
  <c r="FE28" i="13"/>
  <c r="HA84" i="13"/>
  <c r="GS66" i="13"/>
  <c r="HA123" i="13"/>
  <c r="GC133" i="13"/>
  <c r="FE74" i="13"/>
  <c r="FM32" i="13"/>
  <c r="FE23" i="13"/>
  <c r="GK64" i="13"/>
  <c r="HA50" i="13"/>
  <c r="EG26" i="13"/>
  <c r="FE31" i="13"/>
  <c r="GC86" i="13"/>
  <c r="EO93" i="13"/>
  <c r="EO51" i="13"/>
  <c r="FE85" i="13"/>
  <c r="FU90" i="13"/>
  <c r="EW123" i="13"/>
  <c r="GK133" i="13"/>
  <c r="GS89" i="13"/>
  <c r="EG82" i="13"/>
  <c r="FU102" i="13"/>
  <c r="HA125" i="13"/>
  <c r="EO128" i="13"/>
  <c r="FE97" i="13"/>
  <c r="GS41" i="13"/>
  <c r="GK40" i="13"/>
  <c r="GS59" i="13"/>
  <c r="GS24" i="13"/>
  <c r="GK71" i="13"/>
  <c r="EO66" i="13"/>
  <c r="FE36" i="13"/>
  <c r="FM26" i="13"/>
  <c r="EW134" i="13"/>
  <c r="EO108" i="13"/>
  <c r="FM69" i="13"/>
  <c r="HA115" i="13"/>
  <c r="GK114" i="13"/>
  <c r="FE119" i="13"/>
  <c r="FU104" i="13"/>
  <c r="FE78" i="13"/>
  <c r="GC112" i="13"/>
  <c r="GC135" i="13"/>
  <c r="EW49" i="13"/>
  <c r="FU47" i="13"/>
  <c r="EG59" i="13"/>
  <c r="EO41" i="13"/>
  <c r="GK31" i="13"/>
  <c r="HA72" i="13"/>
  <c r="HA95" i="13"/>
  <c r="HA27" i="13"/>
  <c r="GS133" i="13"/>
  <c r="GK100" i="13"/>
  <c r="EO90" i="13"/>
  <c r="GC72" i="13"/>
  <c r="EG109" i="13"/>
  <c r="HA130" i="13"/>
  <c r="EG53" i="13"/>
  <c r="FM81" i="13"/>
  <c r="EW109" i="13"/>
  <c r="EO123" i="13"/>
  <c r="GC51" i="13"/>
  <c r="FE54" i="13"/>
  <c r="GC42" i="13"/>
  <c r="FE69" i="13"/>
  <c r="FU107" i="13"/>
  <c r="EO52" i="13"/>
  <c r="GC49" i="13"/>
  <c r="HA23" i="13"/>
  <c r="GK74" i="13"/>
  <c r="EW114" i="13"/>
  <c r="FE100" i="13"/>
  <c r="GS81" i="13"/>
  <c r="EG77" i="13"/>
  <c r="GC116" i="13"/>
  <c r="FM119" i="13"/>
  <c r="GK97" i="13"/>
  <c r="HA28" i="13"/>
  <c r="FE61" i="13"/>
  <c r="GS51" i="13"/>
  <c r="EW50" i="13"/>
  <c r="EG31" i="13"/>
  <c r="EO126" i="13"/>
  <c r="GC118" i="13"/>
  <c r="FE102" i="13"/>
  <c r="FM68" i="13"/>
  <c r="FM100" i="13"/>
  <c r="EG129" i="13"/>
  <c r="GC137" i="13"/>
  <c r="EO92" i="13"/>
  <c r="EW85" i="13"/>
  <c r="FU92" i="13"/>
  <c r="EW46" i="13"/>
  <c r="FE43" i="13"/>
  <c r="FU32" i="13"/>
  <c r="HA45" i="13"/>
  <c r="EG71" i="13"/>
  <c r="EG57" i="13"/>
  <c r="GK49" i="13"/>
  <c r="FU31" i="13"/>
  <c r="GK103" i="13"/>
  <c r="HA82" i="13"/>
  <c r="GC99" i="13"/>
  <c r="EG120" i="13"/>
  <c r="FE110" i="13"/>
  <c r="HA79" i="13"/>
  <c r="EG113" i="13"/>
  <c r="HA134" i="13"/>
  <c r="FM76" i="13"/>
  <c r="HA57" i="13"/>
  <c r="EW65" i="13"/>
  <c r="GK39" i="13"/>
  <c r="EG46" i="13"/>
  <c r="FE95" i="13"/>
  <c r="GC47" i="13"/>
  <c r="FM113" i="13"/>
  <c r="GS129" i="13"/>
  <c r="GC107" i="13"/>
  <c r="FU126" i="13"/>
  <c r="GK32" i="13"/>
  <c r="FU117" i="13"/>
  <c r="HA86" i="13"/>
  <c r="GS96" i="13"/>
  <c r="EO102" i="13"/>
  <c r="FU41" i="13"/>
  <c r="EO65" i="13"/>
  <c r="GK47" i="13"/>
  <c r="HA64" i="13"/>
  <c r="HA34" i="13"/>
  <c r="FU45" i="13"/>
  <c r="HA90" i="13"/>
  <c r="GS112" i="13"/>
  <c r="EG85" i="13"/>
  <c r="GS49" i="13"/>
  <c r="FU54" i="13"/>
  <c r="GK45" i="13"/>
  <c r="GC136" i="13"/>
  <c r="EG21" i="13"/>
  <c r="EG91" i="13"/>
  <c r="GC89" i="13"/>
  <c r="EW106" i="13"/>
  <c r="EO129" i="13"/>
  <c r="HA29" i="13"/>
  <c r="HA12" i="13" s="1"/>
  <c r="GZ11" i="13" s="1"/>
  <c r="EO61" i="13"/>
  <c r="FE49" i="13"/>
  <c r="HA118" i="13"/>
  <c r="GS121" i="13"/>
  <c r="EO125" i="13"/>
  <c r="EW25" i="13"/>
  <c r="GC43" i="13"/>
  <c r="GK81" i="13"/>
  <c r="EG23" i="13"/>
  <c r="EO59" i="13"/>
  <c r="GK52" i="13"/>
  <c r="FU94" i="13"/>
  <c r="HA135" i="13"/>
  <c r="FU121" i="13"/>
  <c r="HA110" i="13"/>
  <c r="EO100" i="13"/>
  <c r="FE71" i="13"/>
  <c r="FM27" i="13"/>
  <c r="GS48" i="13"/>
  <c r="FU77" i="13"/>
  <c r="GC39" i="13"/>
  <c r="GK111" i="13"/>
  <c r="GK121" i="13"/>
  <c r="FU125" i="13"/>
  <c r="GK99" i="13"/>
  <c r="EG60" i="13"/>
  <c r="HA94" i="13"/>
  <c r="EG110" i="13"/>
  <c r="EW69" i="13"/>
  <c r="FE56" i="13"/>
  <c r="FE98" i="13"/>
  <c r="FE83" i="13"/>
  <c r="GK108" i="13"/>
  <c r="EW27" i="13"/>
  <c r="FE57" i="13"/>
  <c r="FE45" i="13"/>
  <c r="EG50" i="13"/>
  <c r="GC55" i="13"/>
  <c r="EO45" i="13"/>
  <c r="EG33" i="13"/>
  <c r="HA70" i="13"/>
  <c r="EW120" i="13"/>
  <c r="EW72" i="13"/>
  <c r="FU74" i="13"/>
  <c r="EW55" i="13"/>
  <c r="GK46" i="13"/>
  <c r="FE35" i="13"/>
  <c r="GS91" i="13"/>
  <c r="GK131" i="13"/>
  <c r="FM55" i="13"/>
  <c r="EG94" i="13"/>
  <c r="GK62" i="13"/>
  <c r="FM19" i="13"/>
  <c r="EG19" i="13"/>
  <c r="HA19" i="13"/>
  <c r="GC19" i="13"/>
  <c r="GK19" i="13"/>
  <c r="FU19" i="13"/>
  <c r="EW19" i="13"/>
  <c r="FU12" i="13" l="1"/>
  <c r="FT11" i="13" s="1"/>
  <c r="EO12" i="13"/>
  <c r="EN11" i="13" s="1"/>
  <c r="GK12" i="13"/>
  <c r="GJ11" i="13" s="1"/>
  <c r="FE15" i="13"/>
  <c r="FE10" i="13"/>
  <c r="FD9" i="13" s="1"/>
  <c r="GJ15" i="13"/>
  <c r="FU10" i="13"/>
  <c r="FT9" i="13" s="1"/>
  <c r="FU15" i="13"/>
  <c r="GK15" i="13"/>
  <c r="GK10" i="13"/>
  <c r="GJ9" i="13" s="1"/>
  <c r="GS12" i="13"/>
  <c r="GR11" i="13" s="1"/>
  <c r="GR15" i="13"/>
  <c r="GB15" i="13"/>
  <c r="EO10" i="13"/>
  <c r="EN9" i="13" s="1"/>
  <c r="EO15" i="13"/>
  <c r="GS15" i="13"/>
  <c r="GS10" i="13"/>
  <c r="GR9" i="13" s="1"/>
  <c r="FT15" i="13"/>
  <c r="GC15" i="13"/>
  <c r="GC10" i="13"/>
  <c r="GB9" i="13" s="1"/>
  <c r="HA10" i="13"/>
  <c r="GZ9" i="13" s="1"/>
  <c r="HA15" i="13"/>
  <c r="FE12" i="13"/>
  <c r="FD11" i="13" s="1"/>
  <c r="GZ15" i="13"/>
  <c r="FL15" i="13"/>
  <c r="FM15" i="13"/>
  <c r="FM10" i="13"/>
  <c r="FL9" i="13" s="1"/>
  <c r="FM12" i="13"/>
  <c r="FL11" i="13" s="1"/>
  <c r="EN15" i="13"/>
  <c r="EG12" i="13"/>
  <c r="GC12" i="13"/>
  <c r="GB11" i="13" s="1"/>
  <c r="EW15" i="13"/>
  <c r="EV14" i="13" s="1"/>
  <c r="EW10" i="13"/>
  <c r="EV9" i="13" s="1"/>
  <c r="EW12" i="13"/>
  <c r="EV11" i="13" s="1"/>
  <c r="FD14" i="13"/>
  <c r="EG10" i="13"/>
  <c r="N15" i="13"/>
  <c r="M15" i="13"/>
  <c r="L15" i="13"/>
  <c r="GZ14" i="13" l="1"/>
  <c r="EN14" i="13"/>
  <c r="GB14" i="13"/>
  <c r="FL14" i="13"/>
  <c r="GJ14" i="13"/>
  <c r="FT14" i="13"/>
  <c r="GR14" i="13"/>
  <c r="K33" i="13"/>
  <c r="K97" i="13"/>
  <c r="K41" i="13"/>
  <c r="K113" i="13"/>
  <c r="K93" i="13"/>
  <c r="K109" i="13"/>
  <c r="K125" i="13"/>
  <c r="K49" i="13"/>
  <c r="K81" i="13"/>
  <c r="K45" i="13"/>
  <c r="K53" i="13"/>
  <c r="K61" i="13"/>
  <c r="K69" i="13"/>
  <c r="K77" i="13"/>
  <c r="K85" i="13"/>
  <c r="K101" i="13"/>
  <c r="K117" i="13"/>
  <c r="K133" i="13"/>
  <c r="K57" i="13"/>
  <c r="K105" i="13"/>
  <c r="K29" i="13"/>
  <c r="K73" i="13"/>
  <c r="K65" i="13"/>
  <c r="K21" i="13"/>
  <c r="K121" i="13"/>
  <c r="K24" i="13"/>
  <c r="K35" i="13"/>
  <c r="K43" i="13"/>
  <c r="K59" i="13"/>
  <c r="K67" i="13"/>
  <c r="K75" i="13"/>
  <c r="K83" i="13"/>
  <c r="K91" i="13"/>
  <c r="K99" i="13"/>
  <c r="K107" i="13"/>
  <c r="K115" i="13"/>
  <c r="K123" i="13"/>
  <c r="K27" i="13"/>
  <c r="K44" i="13"/>
  <c r="K60" i="13"/>
  <c r="K68" i="13"/>
  <c r="K76" i="13"/>
  <c r="K84" i="13"/>
  <c r="K92" i="13"/>
  <c r="K100" i="13"/>
  <c r="K108" i="13"/>
  <c r="K116" i="13"/>
  <c r="K124" i="13"/>
  <c r="K132" i="13"/>
  <c r="K28" i="13"/>
  <c r="K39" i="13"/>
  <c r="K55" i="13"/>
  <c r="K63" i="13"/>
  <c r="K71" i="13"/>
  <c r="K79" i="13"/>
  <c r="K87" i="13"/>
  <c r="K95" i="13"/>
  <c r="K103" i="13"/>
  <c r="K119" i="13"/>
  <c r="K127" i="13"/>
  <c r="K104" i="13"/>
  <c r="K31" i="13"/>
  <c r="K40" i="13"/>
  <c r="K56" i="13"/>
  <c r="K64" i="13"/>
  <c r="K72" i="13"/>
  <c r="K80" i="13"/>
  <c r="K96" i="13"/>
  <c r="K120" i="13"/>
  <c r="K32" i="13"/>
  <c r="S118" i="8"/>
  <c r="Q118" i="8"/>
  <c r="P118" i="8"/>
  <c r="S117" i="8"/>
  <c r="Q117" i="8"/>
  <c r="P117" i="8"/>
  <c r="S116" i="8"/>
  <c r="Q116" i="8"/>
  <c r="P116" i="8"/>
  <c r="S115" i="8"/>
  <c r="Q115" i="8"/>
  <c r="P115" i="8"/>
  <c r="S114" i="8"/>
  <c r="Q114" i="8"/>
  <c r="P114" i="8"/>
  <c r="S113" i="8"/>
  <c r="Q113" i="8"/>
  <c r="P113" i="8"/>
  <c r="S112" i="8"/>
  <c r="Q112" i="8"/>
  <c r="P112" i="8"/>
  <c r="S111" i="8"/>
  <c r="Q111" i="8"/>
  <c r="P111" i="8"/>
  <c r="S110" i="8"/>
  <c r="Q110" i="8"/>
  <c r="P110" i="8"/>
  <c r="S109" i="8"/>
  <c r="Q109" i="8"/>
  <c r="P109" i="8"/>
  <c r="S108" i="8"/>
  <c r="Q108" i="8"/>
  <c r="P108" i="8"/>
  <c r="S107" i="8"/>
  <c r="Q107" i="8"/>
  <c r="P107" i="8"/>
  <c r="S106" i="8"/>
  <c r="Q106" i="8"/>
  <c r="P106" i="8"/>
  <c r="S105" i="8"/>
  <c r="Q105" i="8"/>
  <c r="P105" i="8"/>
  <c r="S104" i="8"/>
  <c r="Q104" i="8"/>
  <c r="P104" i="8"/>
  <c r="S103" i="8"/>
  <c r="Q103" i="8"/>
  <c r="P103" i="8"/>
  <c r="S102" i="8"/>
  <c r="Q102" i="8"/>
  <c r="P102" i="8"/>
  <c r="S101" i="8"/>
  <c r="Q101" i="8"/>
  <c r="P101" i="8"/>
  <c r="S100" i="8"/>
  <c r="Q100" i="8"/>
  <c r="P100" i="8"/>
  <c r="S99" i="8"/>
  <c r="Q99" i="8"/>
  <c r="P99" i="8"/>
  <c r="S98" i="8"/>
  <c r="Q98" i="8"/>
  <c r="P98" i="8"/>
  <c r="S97" i="8"/>
  <c r="Q97" i="8"/>
  <c r="P97" i="8"/>
  <c r="S96" i="8"/>
  <c r="Q96" i="8"/>
  <c r="P96" i="8"/>
  <c r="S95" i="8"/>
  <c r="Q95" i="8"/>
  <c r="P95" i="8"/>
  <c r="S94" i="8"/>
  <c r="Q94" i="8"/>
  <c r="P94" i="8"/>
  <c r="S93" i="8"/>
  <c r="Q93" i="8"/>
  <c r="P93" i="8"/>
  <c r="S92" i="8"/>
  <c r="Q92" i="8"/>
  <c r="P92" i="8"/>
  <c r="S91" i="8"/>
  <c r="Q91" i="8"/>
  <c r="P91" i="8"/>
  <c r="S90" i="8"/>
  <c r="Q90" i="8"/>
  <c r="P90" i="8"/>
  <c r="S89" i="8"/>
  <c r="Q89" i="8"/>
  <c r="P89" i="8"/>
  <c r="S88" i="8"/>
  <c r="Q88" i="8"/>
  <c r="P88" i="8"/>
  <c r="S87" i="8"/>
  <c r="Q87" i="8"/>
  <c r="P87" i="8"/>
  <c r="S86" i="8"/>
  <c r="Q86" i="8"/>
  <c r="P86" i="8"/>
  <c r="S85" i="8"/>
  <c r="Q85" i="8"/>
  <c r="P85" i="8"/>
  <c r="S84" i="8"/>
  <c r="Q84" i="8"/>
  <c r="P84" i="8"/>
  <c r="S83" i="8"/>
  <c r="Q83" i="8"/>
  <c r="P83" i="8"/>
  <c r="S82" i="8"/>
  <c r="Q82" i="8"/>
  <c r="P82" i="8"/>
  <c r="S81" i="8"/>
  <c r="Q81" i="8"/>
  <c r="P81" i="8"/>
  <c r="S80" i="8"/>
  <c r="Q80" i="8"/>
  <c r="P80" i="8"/>
  <c r="S79" i="8"/>
  <c r="Q79" i="8"/>
  <c r="P79" i="8"/>
  <c r="S78" i="8"/>
  <c r="Q78" i="8"/>
  <c r="P78" i="8"/>
  <c r="S77" i="8"/>
  <c r="Q77" i="8"/>
  <c r="P77" i="8"/>
  <c r="S76" i="8"/>
  <c r="Q76" i="8"/>
  <c r="P76" i="8"/>
  <c r="S75" i="8"/>
  <c r="Q75" i="8"/>
  <c r="P75" i="8"/>
  <c r="S74" i="8"/>
  <c r="Q74" i="8"/>
  <c r="P74" i="8"/>
  <c r="S73" i="8"/>
  <c r="Q73" i="8"/>
  <c r="P73" i="8"/>
  <c r="S72" i="8"/>
  <c r="Q72" i="8"/>
  <c r="P72" i="8"/>
  <c r="S71" i="8"/>
  <c r="Q71" i="8"/>
  <c r="P71" i="8"/>
  <c r="S70" i="8"/>
  <c r="Q70" i="8"/>
  <c r="P70" i="8"/>
  <c r="S69" i="8"/>
  <c r="Q69" i="8"/>
  <c r="P69" i="8"/>
  <c r="S68" i="8"/>
  <c r="Q68" i="8"/>
  <c r="P68" i="8"/>
  <c r="S67" i="8"/>
  <c r="Q67" i="8"/>
  <c r="P67" i="8"/>
  <c r="S66" i="8"/>
  <c r="Q66" i="8"/>
  <c r="P66" i="8"/>
  <c r="S65" i="8"/>
  <c r="Q65" i="8"/>
  <c r="P65" i="8"/>
  <c r="S64" i="8"/>
  <c r="Q64" i="8"/>
  <c r="P64" i="8"/>
  <c r="S63" i="8"/>
  <c r="Q63" i="8"/>
  <c r="P63" i="8"/>
  <c r="S62" i="8"/>
  <c r="Q62" i="8"/>
  <c r="P62" i="8"/>
  <c r="S61" i="8"/>
  <c r="Q61" i="8"/>
  <c r="P61" i="8"/>
  <c r="S60" i="8"/>
  <c r="Q60" i="8"/>
  <c r="P60" i="8"/>
  <c r="S59" i="8"/>
  <c r="Q59" i="8"/>
  <c r="P59" i="8"/>
  <c r="S58" i="8"/>
  <c r="Q58" i="8"/>
  <c r="P58" i="8"/>
  <c r="S57" i="8"/>
  <c r="Q57" i="8"/>
  <c r="P57" i="8"/>
  <c r="S56" i="8"/>
  <c r="Q56" i="8"/>
  <c r="P56" i="8"/>
  <c r="S55" i="8"/>
  <c r="Q55" i="8"/>
  <c r="P55" i="8"/>
  <c r="S54" i="8"/>
  <c r="Q54" i="8"/>
  <c r="P54" i="8"/>
  <c r="S53" i="8"/>
  <c r="Q53" i="8"/>
  <c r="P53" i="8"/>
  <c r="S52" i="8"/>
  <c r="Q52" i="8"/>
  <c r="P52" i="8"/>
  <c r="S51" i="8"/>
  <c r="Q51" i="8"/>
  <c r="P51" i="8"/>
  <c r="S50" i="8"/>
  <c r="Q50" i="8"/>
  <c r="P50" i="8"/>
  <c r="S49" i="8"/>
  <c r="Q49" i="8"/>
  <c r="P49" i="8"/>
  <c r="S48" i="8"/>
  <c r="Q48" i="8"/>
  <c r="P48" i="8"/>
  <c r="S47" i="8"/>
  <c r="Q47" i="8"/>
  <c r="P47" i="8"/>
  <c r="S46" i="8"/>
  <c r="Q46" i="8"/>
  <c r="P46" i="8"/>
  <c r="S45" i="8"/>
  <c r="Q45" i="8"/>
  <c r="P45" i="8"/>
  <c r="S44" i="8"/>
  <c r="Q44" i="8"/>
  <c r="P44" i="8"/>
  <c r="S43" i="8"/>
  <c r="Q43" i="8"/>
  <c r="P43" i="8"/>
  <c r="S42" i="8"/>
  <c r="Q42" i="8"/>
  <c r="P42" i="8"/>
  <c r="S41" i="8"/>
  <c r="Q41" i="8"/>
  <c r="P41" i="8"/>
  <c r="S40" i="8"/>
  <c r="Q40" i="8"/>
  <c r="P40" i="8"/>
  <c r="S39" i="8"/>
  <c r="Q39" i="8"/>
  <c r="P39" i="8"/>
  <c r="S38" i="8"/>
  <c r="Q38" i="8"/>
  <c r="P38" i="8"/>
  <c r="S23" i="1" l="1"/>
  <c r="DS13" i="13" l="1"/>
  <c r="DS12" i="13"/>
  <c r="DS9" i="13"/>
  <c r="DS11" i="13" s="1"/>
  <c r="DS7" i="13"/>
  <c r="DS8" i="13"/>
  <c r="DT12" i="13"/>
  <c r="DT9" i="13"/>
  <c r="DT7" i="13"/>
  <c r="DT13" i="13"/>
  <c r="DT8" i="13"/>
  <c r="ED15" i="13"/>
  <c r="DN12" i="13"/>
  <c r="DN11" i="13"/>
  <c r="DN7" i="13"/>
  <c r="CM20" i="13" s="1"/>
  <c r="DN13" i="13"/>
  <c r="DN8" i="13"/>
  <c r="DR13" i="13"/>
  <c r="DR8" i="13"/>
  <c r="DR12" i="13"/>
  <c r="DR9" i="13"/>
  <c r="DR7" i="13"/>
  <c r="DQ13" i="13"/>
  <c r="DQ8" i="13"/>
  <c r="DQ12" i="13"/>
  <c r="DQ9" i="13"/>
  <c r="DQ7" i="13"/>
  <c r="DP13" i="13"/>
  <c r="DP8" i="13"/>
  <c r="DP12" i="13"/>
  <c r="DP9" i="13"/>
  <c r="DP11" i="13" s="1"/>
  <c r="DP7" i="13"/>
  <c r="DW7" i="13"/>
  <c r="DW13" i="13"/>
  <c r="DW8" i="13"/>
  <c r="DW12" i="13"/>
  <c r="DW9" i="13"/>
  <c r="DO9" i="13"/>
  <c r="DO11" i="13" s="1"/>
  <c r="DO7" i="13"/>
  <c r="DO13" i="13"/>
  <c r="DO8" i="13"/>
  <c r="DO12" i="13"/>
  <c r="DU12" i="13"/>
  <c r="DU9" i="13"/>
  <c r="DU11" i="13" s="1"/>
  <c r="DU7" i="13"/>
  <c r="DU13" i="13"/>
  <c r="DU8" i="13"/>
  <c r="DV12" i="13"/>
  <c r="DV9" i="13"/>
  <c r="DV7" i="13"/>
  <c r="DV13" i="13"/>
  <c r="DV8" i="13"/>
  <c r="DK11" i="13"/>
  <c r="DF11" i="13"/>
  <c r="DW11" i="13" l="1"/>
  <c r="DQ11" i="13"/>
  <c r="DM11" i="13"/>
  <c r="DL11" i="13"/>
  <c r="DE11" i="13"/>
  <c r="DI11" i="13"/>
  <c r="DV11" i="13"/>
  <c r="DH11" i="13"/>
  <c r="CA6" i="13"/>
  <c r="DR11" i="13"/>
  <c r="DJ11" i="13"/>
  <c r="DT11" i="13"/>
  <c r="CW17" i="13" l="1"/>
  <c r="CW46" i="13"/>
  <c r="CW43" i="13"/>
  <c r="CW40" i="13"/>
  <c r="CW37" i="13"/>
  <c r="CW34" i="13"/>
  <c r="CW31" i="13"/>
  <c r="CW28" i="13"/>
  <c r="CW25" i="13"/>
  <c r="CW22" i="13"/>
  <c r="CW15" i="13"/>
  <c r="CW14" i="13"/>
  <c r="CW13" i="13"/>
  <c r="CW12" i="13"/>
  <c r="CW11" i="13"/>
  <c r="CW10" i="13"/>
  <c r="CW9" i="13"/>
  <c r="CW8" i="13"/>
  <c r="CW7" i="13"/>
  <c r="R36" i="1" l="1"/>
  <c r="CK4" i="13" l="1"/>
  <c r="CE4" i="13"/>
  <c r="CQ15" i="13"/>
  <c r="CQ14" i="13"/>
  <c r="CQ13" i="13"/>
  <c r="CQ12" i="13"/>
  <c r="CQ11" i="13"/>
  <c r="CQ10" i="13"/>
  <c r="CQ9" i="13"/>
  <c r="CQ8" i="13"/>
  <c r="CQ7" i="13"/>
  <c r="CQ46" i="13"/>
  <c r="CQ43" i="13"/>
  <c r="CQ40" i="13"/>
  <c r="CQ37" i="13"/>
  <c r="CQ34" i="13"/>
  <c r="CQ31" i="13"/>
  <c r="CQ28" i="13"/>
  <c r="CQ25" i="13"/>
  <c r="CQ22" i="13"/>
  <c r="CE15" i="13"/>
  <c r="CE14" i="13"/>
  <c r="CE13" i="13"/>
  <c r="CE12" i="13"/>
  <c r="CE11" i="13"/>
  <c r="CE10" i="13"/>
  <c r="CE9" i="13"/>
  <c r="CE8" i="13"/>
  <c r="CE7" i="13"/>
  <c r="BY4" i="13"/>
  <c r="EE19" i="13"/>
  <c r="EE10" i="13" s="1"/>
  <c r="CK17" i="13"/>
  <c r="CE17" i="13"/>
  <c r="BY17" i="13"/>
  <c r="CE46" i="13"/>
  <c r="CE43" i="13"/>
  <c r="CE40" i="13"/>
  <c r="CE37" i="13"/>
  <c r="CE34" i="13"/>
  <c r="CE31" i="13"/>
  <c r="CE28" i="13"/>
  <c r="CE25" i="13"/>
  <c r="CE22" i="13"/>
  <c r="EE15" i="13" l="1"/>
  <c r="BU14" i="13" s="1"/>
  <c r="ED17" i="13"/>
  <c r="EF17" i="13"/>
  <c r="EB17" i="13"/>
  <c r="DZ17" i="13"/>
  <c r="CO43" i="13" l="1"/>
  <c r="CO40" i="13"/>
  <c r="CO46" i="13"/>
  <c r="CO42" i="13"/>
  <c r="CO41" i="13"/>
  <c r="CO47" i="13"/>
  <c r="CO48" i="13"/>
  <c r="CO45" i="13"/>
  <c r="CO44" i="13"/>
  <c r="CK15" i="13" l="1"/>
  <c r="CK14" i="13"/>
  <c r="CK13" i="13"/>
  <c r="CK12" i="13"/>
  <c r="CK11" i="13"/>
  <c r="CK10" i="13"/>
  <c r="CK9" i="13"/>
  <c r="CK8" i="13"/>
  <c r="CK7" i="13"/>
  <c r="BY15" i="13"/>
  <c r="BY14" i="13"/>
  <c r="BY13" i="13"/>
  <c r="BY12" i="13"/>
  <c r="BY11" i="13"/>
  <c r="BY10" i="13"/>
  <c r="BY9" i="13"/>
  <c r="BY8" i="13"/>
  <c r="BY7" i="13"/>
  <c r="T30" i="1" l="1"/>
  <c r="S30" i="1"/>
  <c r="R30" i="1"/>
  <c r="T29" i="1"/>
  <c r="S29" i="1"/>
  <c r="R29" i="1"/>
  <c r="T28" i="1"/>
  <c r="S28" i="1"/>
  <c r="R28" i="1"/>
  <c r="T27" i="1"/>
  <c r="S27" i="1"/>
  <c r="R27" i="1"/>
  <c r="T26" i="1"/>
  <c r="S26" i="1"/>
  <c r="R26" i="1"/>
  <c r="T25" i="1"/>
  <c r="S25" i="1"/>
  <c r="R25" i="1"/>
  <c r="T24" i="1"/>
  <c r="S24" i="1"/>
  <c r="R24" i="1"/>
  <c r="T23" i="1"/>
  <c r="R23" i="1"/>
  <c r="T22" i="1"/>
  <c r="S22" i="1"/>
  <c r="R22" i="1"/>
  <c r="T21" i="1"/>
  <c r="S21" i="1"/>
  <c r="R21" i="1"/>
  <c r="L10" i="13" l="1"/>
  <c r="HG8" i="13" s="1"/>
  <c r="CK46" i="13"/>
  <c r="CK43" i="13"/>
  <c r="CK40" i="13"/>
  <c r="CK37" i="13"/>
  <c r="CK34" i="13"/>
  <c r="CK31" i="13"/>
  <c r="CK28" i="13"/>
  <c r="CK25" i="13"/>
  <c r="CK22" i="13"/>
  <c r="BY46" i="13"/>
  <c r="BY43" i="13"/>
  <c r="BY40" i="13"/>
  <c r="BY37" i="13"/>
  <c r="BY34" i="13"/>
  <c r="BY31" i="13"/>
  <c r="BY28" i="13"/>
  <c r="BY25" i="13"/>
  <c r="BY22" i="13"/>
  <c r="CN48" i="13"/>
  <c r="CN45" i="13"/>
  <c r="CN42" i="13"/>
  <c r="CN47" i="13"/>
  <c r="CN44" i="13"/>
  <c r="CN41" i="13"/>
  <c r="EP44" i="13"/>
  <c r="GT38" i="13"/>
  <c r="FP65" i="13"/>
  <c r="EZ83" i="13"/>
  <c r="GF115" i="13"/>
  <c r="FX126" i="13"/>
  <c r="EZ124" i="13"/>
  <c r="GD85" i="13"/>
  <c r="FP82" i="13"/>
  <c r="GV49" i="13"/>
  <c r="EP70" i="13"/>
  <c r="GF53" i="13"/>
  <c r="EX80" i="13"/>
  <c r="GN30" i="13"/>
  <c r="FP107" i="13"/>
  <c r="FV45" i="13"/>
  <c r="GF65" i="13"/>
  <c r="GT104" i="13"/>
  <c r="FH110" i="13"/>
  <c r="FX98" i="13"/>
  <c r="FN80" i="13"/>
  <c r="GV76" i="13"/>
  <c r="GD26" i="13"/>
  <c r="FH72" i="13"/>
  <c r="FH77" i="13"/>
  <c r="FF52" i="13"/>
  <c r="FH58" i="13"/>
  <c r="EZ117" i="13"/>
  <c r="GN28" i="13"/>
  <c r="FN36" i="13"/>
  <c r="FV21" i="13"/>
  <c r="GN123" i="13"/>
  <c r="GL70" i="13"/>
  <c r="GN94" i="13"/>
  <c r="FN91" i="13"/>
  <c r="ER33" i="13"/>
  <c r="GF45" i="13"/>
  <c r="GL50" i="13"/>
  <c r="GV38" i="13"/>
  <c r="GN81" i="13"/>
  <c r="EJ131" i="13"/>
  <c r="FF36" i="13"/>
  <c r="GV127" i="13"/>
  <c r="GV126" i="13"/>
  <c r="EX71" i="13"/>
  <c r="EH23" i="13"/>
  <c r="EX49" i="13"/>
  <c r="GF116" i="13"/>
  <c r="FF60" i="13"/>
  <c r="FP106" i="13"/>
  <c r="FF20" i="13"/>
  <c r="GD42" i="13"/>
  <c r="EX60" i="13"/>
  <c r="FX67" i="13"/>
  <c r="EP77" i="13"/>
  <c r="GF67" i="13"/>
  <c r="GD71" i="13"/>
  <c r="EH97" i="13"/>
  <c r="GD40" i="13"/>
  <c r="EJ125" i="13"/>
  <c r="EP31" i="13"/>
  <c r="FN38" i="13"/>
  <c r="GT95" i="13"/>
  <c r="GD108" i="13"/>
  <c r="FX54" i="13"/>
  <c r="EJ78" i="13"/>
  <c r="ER91" i="13"/>
  <c r="GF49" i="13"/>
  <c r="GF68" i="13"/>
  <c r="FX28" i="13"/>
  <c r="GN87" i="13"/>
  <c r="FP95" i="13"/>
  <c r="EH37" i="13"/>
  <c r="EJ106" i="13"/>
  <c r="EX100" i="13"/>
  <c r="FH106" i="13"/>
  <c r="ER130" i="13"/>
  <c r="FX46" i="13"/>
  <c r="ER75" i="13"/>
  <c r="EZ127" i="13"/>
  <c r="FV58" i="13"/>
  <c r="EX102" i="13"/>
  <c r="EZ46" i="13"/>
  <c r="GV57" i="13"/>
  <c r="FN101" i="13"/>
  <c r="FN112" i="13"/>
  <c r="EZ77" i="13"/>
  <c r="GV35" i="13"/>
  <c r="GL57" i="13"/>
  <c r="GL51" i="13"/>
  <c r="FF88" i="13"/>
  <c r="EP81" i="13"/>
  <c r="GF103" i="13"/>
  <c r="GN84" i="13"/>
  <c r="GV104" i="13"/>
  <c r="GV64" i="13"/>
  <c r="EP58" i="13"/>
  <c r="FV92" i="13"/>
  <c r="EX40" i="13"/>
  <c r="EZ120" i="13"/>
  <c r="FP118" i="13"/>
  <c r="FP23" i="13"/>
  <c r="ER55" i="13"/>
  <c r="ER66" i="13"/>
  <c r="EZ62" i="13"/>
  <c r="GL31" i="13"/>
  <c r="GD83" i="13"/>
  <c r="EH83" i="13"/>
  <c r="FF69" i="13"/>
  <c r="GD35" i="13"/>
  <c r="GV107" i="13"/>
  <c r="EH31" i="13"/>
  <c r="FF89" i="13"/>
  <c r="ER87" i="13"/>
  <c r="FX60" i="13"/>
  <c r="GV34" i="13"/>
  <c r="GD107" i="13"/>
  <c r="GD49" i="13"/>
  <c r="FN54" i="13"/>
  <c r="GT59" i="13"/>
  <c r="GT112" i="13"/>
  <c r="GD21" i="13"/>
  <c r="GF75" i="13"/>
  <c r="FF82" i="13"/>
  <c r="EZ22" i="13"/>
  <c r="FN28" i="13"/>
  <c r="FF26" i="13"/>
  <c r="GF83" i="13"/>
  <c r="EZ74" i="13"/>
  <c r="FV96" i="13"/>
  <c r="EJ122" i="13"/>
  <c r="EJ108" i="13"/>
  <c r="EP103" i="13"/>
  <c r="EJ68" i="13"/>
  <c r="FX130" i="13"/>
  <c r="FX76" i="13"/>
  <c r="GF94" i="13"/>
  <c r="ER49" i="13"/>
  <c r="FN20" i="13"/>
  <c r="EZ57" i="13"/>
  <c r="FF81" i="13"/>
  <c r="FX80" i="13"/>
  <c r="FP57" i="13"/>
  <c r="EJ120" i="13"/>
  <c r="ER82" i="13"/>
  <c r="EX56" i="13"/>
  <c r="EZ31" i="13"/>
  <c r="GF38" i="13"/>
  <c r="GV124" i="13"/>
  <c r="EJ24" i="13"/>
  <c r="FV82" i="13"/>
  <c r="EH87" i="13"/>
  <c r="GL88" i="13"/>
  <c r="GV62" i="13"/>
  <c r="GF109" i="13"/>
  <c r="GN71" i="13"/>
  <c r="FV31" i="13"/>
  <c r="GD36" i="13"/>
  <c r="FF32" i="13"/>
  <c r="GF106" i="13"/>
  <c r="FV83" i="13"/>
  <c r="FV71" i="13"/>
  <c r="EJ53" i="13"/>
  <c r="GN122" i="13"/>
  <c r="ER74" i="13"/>
  <c r="GT107" i="13"/>
  <c r="GT99" i="13"/>
  <c r="GD62" i="13"/>
  <c r="EP59" i="13"/>
  <c r="EH104" i="13"/>
  <c r="GN82" i="13"/>
  <c r="GL28" i="13"/>
  <c r="EJ91" i="13"/>
  <c r="EJ22" i="13"/>
  <c r="FX39" i="13"/>
  <c r="GN32" i="13"/>
  <c r="GD45" i="13"/>
  <c r="FF51" i="13"/>
  <c r="FP108" i="13"/>
  <c r="EH110" i="13"/>
  <c r="GD52" i="13"/>
  <c r="GL68" i="13"/>
  <c r="EZ132" i="13"/>
  <c r="GN99" i="13"/>
  <c r="FF104" i="13"/>
  <c r="GF54" i="13"/>
  <c r="EZ122" i="13"/>
  <c r="FH109" i="13"/>
  <c r="FP87" i="13"/>
  <c r="FN79" i="13"/>
  <c r="FV78" i="13"/>
  <c r="GV67" i="13"/>
  <c r="EX33" i="13"/>
  <c r="GL27" i="13"/>
  <c r="GN125" i="13"/>
  <c r="FX116" i="13"/>
  <c r="FV66" i="13"/>
  <c r="EP45" i="13"/>
  <c r="GD78" i="13"/>
  <c r="GV65" i="13"/>
  <c r="FH68" i="13"/>
  <c r="GV114" i="13"/>
  <c r="EX88" i="13"/>
  <c r="FX109" i="13"/>
  <c r="FF76" i="13"/>
  <c r="GN110" i="13"/>
  <c r="FN85" i="13"/>
  <c r="GF82" i="13"/>
  <c r="ER23" i="13"/>
  <c r="FP44" i="13"/>
  <c r="EZ28" i="13"/>
  <c r="EJ25" i="13"/>
  <c r="FN40" i="13"/>
  <c r="FF27" i="13"/>
  <c r="EP85" i="13"/>
  <c r="GF86" i="13"/>
  <c r="FP109" i="13"/>
  <c r="GV101" i="13"/>
  <c r="GV83" i="13"/>
  <c r="EJ100" i="13"/>
  <c r="ER80" i="13"/>
  <c r="EZ40" i="13"/>
  <c r="GN85" i="13"/>
  <c r="EH64" i="13"/>
  <c r="GD111" i="13"/>
  <c r="FF38" i="13"/>
  <c r="ER45" i="13"/>
  <c r="EZ103" i="13"/>
  <c r="GN67" i="13"/>
  <c r="FP81" i="13"/>
  <c r="GL65" i="13"/>
  <c r="GL80" i="13"/>
  <c r="FN66" i="13"/>
  <c r="GN96" i="13"/>
  <c r="FX87" i="13"/>
  <c r="FV39" i="13"/>
  <c r="FF23" i="13"/>
  <c r="FN37" i="13"/>
  <c r="EX77" i="13"/>
  <c r="FH62" i="13"/>
  <c r="EZ109" i="13"/>
  <c r="GF99" i="13"/>
  <c r="FX59" i="13"/>
  <c r="FV95" i="13"/>
  <c r="ER116" i="13"/>
  <c r="EX69" i="13"/>
  <c r="EZ32" i="13"/>
  <c r="GF21" i="13"/>
  <c r="FX113" i="13"/>
  <c r="FP121" i="13"/>
  <c r="GD39" i="13"/>
  <c r="EJ23" i="13"/>
  <c r="EZ90" i="13"/>
  <c r="GF24" i="13"/>
  <c r="EZ35" i="13"/>
  <c r="GF119" i="13"/>
  <c r="GL99" i="13"/>
  <c r="GT51" i="13"/>
  <c r="FX115" i="13"/>
  <c r="EP62" i="13"/>
  <c r="ER42" i="13"/>
  <c r="GF23" i="13"/>
  <c r="FP59" i="13"/>
  <c r="FX97" i="13"/>
  <c r="GN75" i="13"/>
  <c r="GD53" i="13"/>
  <c r="FF63" i="13"/>
  <c r="EP89" i="13"/>
  <c r="EH96" i="13"/>
  <c r="FP33" i="13"/>
  <c r="EJ107" i="13"/>
  <c r="GT35" i="13"/>
  <c r="FN68" i="13"/>
  <c r="FN58" i="13"/>
  <c r="EX87" i="13"/>
  <c r="GD75" i="13"/>
  <c r="GF96" i="13"/>
  <c r="FX63" i="13"/>
  <c r="EX39" i="13"/>
  <c r="FH24" i="13"/>
  <c r="GV66" i="13"/>
  <c r="GF79" i="13"/>
  <c r="FF65" i="13"/>
  <c r="EP28" i="13"/>
  <c r="EH101" i="13"/>
  <c r="ER118" i="13"/>
  <c r="FV101" i="13"/>
  <c r="FF34" i="13"/>
  <c r="FX121" i="13"/>
  <c r="EZ97" i="13"/>
  <c r="EZ64" i="13"/>
  <c r="EJ38" i="13"/>
  <c r="GV58" i="13"/>
  <c r="FN72" i="13"/>
  <c r="GT89" i="13"/>
  <c r="FX74" i="13"/>
  <c r="EX32" i="13"/>
  <c r="EP102" i="13"/>
  <c r="FV48" i="13"/>
  <c r="FF80" i="13"/>
  <c r="GF117" i="13"/>
  <c r="GL91" i="13"/>
  <c r="FF31" i="13"/>
  <c r="FX65" i="13"/>
  <c r="FP103" i="13"/>
  <c r="EZ23" i="13"/>
  <c r="GD70" i="13"/>
  <c r="EH108" i="13"/>
  <c r="FP130" i="13"/>
  <c r="FX86" i="13"/>
  <c r="GL89" i="13"/>
  <c r="EH90" i="13"/>
  <c r="FX108" i="13"/>
  <c r="FX119" i="13"/>
  <c r="GT80" i="13"/>
  <c r="FV75" i="13"/>
  <c r="FX26" i="13"/>
  <c r="ER121" i="13"/>
  <c r="EX75" i="13"/>
  <c r="EX31" i="13"/>
  <c r="FN95" i="13"/>
  <c r="FV86" i="13"/>
  <c r="GD58" i="13"/>
  <c r="EX86" i="13"/>
  <c r="FH107" i="13"/>
  <c r="EJ81" i="13"/>
  <c r="GV33" i="13"/>
  <c r="EH35" i="13"/>
  <c r="GV119" i="13"/>
  <c r="FF74" i="13"/>
  <c r="GT36" i="13"/>
  <c r="EP99" i="13"/>
  <c r="EP67" i="13"/>
  <c r="FF103" i="13"/>
  <c r="EP38" i="13"/>
  <c r="FF77" i="13"/>
  <c r="ER60" i="13"/>
  <c r="FF66" i="13"/>
  <c r="GF87" i="13"/>
  <c r="GV28" i="13"/>
  <c r="EZ101" i="13"/>
  <c r="FN22" i="13"/>
  <c r="FH93" i="13"/>
  <c r="GL104" i="13"/>
  <c r="EH61" i="13"/>
  <c r="EZ73" i="13"/>
  <c r="GV91" i="13"/>
  <c r="EX84" i="13"/>
  <c r="FP54" i="13"/>
  <c r="FX118" i="13"/>
  <c r="FV65" i="13"/>
  <c r="GD34" i="13"/>
  <c r="EZ41" i="13"/>
  <c r="EP25" i="13"/>
  <c r="FX24" i="13"/>
  <c r="GT70" i="13"/>
  <c r="GN124" i="13"/>
  <c r="GN109" i="13"/>
  <c r="ER127" i="13"/>
  <c r="FP68" i="13"/>
  <c r="EX50" i="13"/>
  <c r="GF41" i="13"/>
  <c r="GV99" i="13"/>
  <c r="GF78" i="13"/>
  <c r="FN46" i="13"/>
  <c r="GD47" i="13"/>
  <c r="GL32" i="13"/>
  <c r="FV49" i="13"/>
  <c r="FV74" i="13"/>
  <c r="FF108" i="13"/>
  <c r="FP56" i="13"/>
  <c r="EH62" i="13"/>
  <c r="FN32" i="13"/>
  <c r="EJ65" i="13"/>
  <c r="EJ67" i="13"/>
  <c r="EJ123" i="13"/>
  <c r="FX45" i="13"/>
  <c r="ER83" i="13"/>
  <c r="GD44" i="13"/>
  <c r="EZ94" i="13"/>
  <c r="GV25" i="13"/>
  <c r="FV110" i="13"/>
  <c r="FV112" i="13"/>
  <c r="FV109" i="13"/>
  <c r="GF35" i="13"/>
  <c r="EP46" i="13"/>
  <c r="GT32" i="13"/>
  <c r="EP57" i="13"/>
  <c r="GF126" i="13"/>
  <c r="ER43" i="13"/>
  <c r="EH77" i="13"/>
  <c r="FN102" i="13"/>
  <c r="EP91" i="13"/>
  <c r="EJ72" i="13"/>
  <c r="FN71" i="13"/>
  <c r="GV78" i="13"/>
  <c r="GL58" i="13"/>
  <c r="GT93" i="13"/>
  <c r="FN100" i="13"/>
  <c r="EB108" i="13"/>
  <c r="ER76" i="13"/>
  <c r="GV116" i="13"/>
  <c r="GD80" i="13"/>
  <c r="EB45" i="13"/>
  <c r="GF44" i="13"/>
  <c r="GL38" i="13"/>
  <c r="FH127" i="13"/>
  <c r="ER20" i="13"/>
  <c r="FP40" i="13"/>
  <c r="EP43" i="13"/>
  <c r="GF72" i="13"/>
  <c r="GN69" i="13"/>
  <c r="GF69" i="13"/>
  <c r="GV92" i="13"/>
  <c r="GT86" i="13"/>
  <c r="FP30" i="13"/>
  <c r="GF55" i="13"/>
  <c r="FX100" i="13"/>
  <c r="GL33" i="13"/>
  <c r="GL45" i="13"/>
  <c r="FX105" i="13"/>
  <c r="GN119" i="13"/>
  <c r="EX104" i="13"/>
  <c r="EP55" i="13"/>
  <c r="FP90" i="13"/>
  <c r="EZ121" i="13"/>
  <c r="ER131" i="13"/>
  <c r="FH125" i="13"/>
  <c r="GV71" i="13"/>
  <c r="GD95" i="13"/>
  <c r="GV84" i="13"/>
  <c r="ER58" i="13"/>
  <c r="EH106" i="13"/>
  <c r="EP73" i="13"/>
  <c r="GL41" i="13"/>
  <c r="EX24" i="13"/>
  <c r="GV40" i="13"/>
  <c r="EH32" i="13"/>
  <c r="ER110" i="13"/>
  <c r="EZ84" i="13"/>
  <c r="FV37" i="13"/>
  <c r="EZ53" i="13"/>
  <c r="GF74" i="13"/>
  <c r="EJ61" i="13"/>
  <c r="FF107" i="13"/>
  <c r="GL23" i="13"/>
  <c r="EX97" i="13"/>
  <c r="ER104" i="13"/>
  <c r="EJ124" i="13"/>
  <c r="ER54" i="13"/>
  <c r="ER85" i="13"/>
  <c r="FN86" i="13"/>
  <c r="ER133" i="13"/>
  <c r="EH111" i="13"/>
  <c r="FN53" i="13"/>
  <c r="EZ72" i="13"/>
  <c r="GN41" i="13"/>
  <c r="ER34" i="13"/>
  <c r="EH68" i="13"/>
  <c r="EX20" i="13"/>
  <c r="EH58" i="13"/>
  <c r="EZ130" i="13"/>
  <c r="EJ60" i="13"/>
  <c r="EH74" i="13"/>
  <c r="FV38" i="13"/>
  <c r="EP74" i="13"/>
  <c r="FX61" i="13"/>
  <c r="FN78" i="13"/>
  <c r="FN82" i="13"/>
  <c r="GD61" i="13"/>
  <c r="GT85" i="13"/>
  <c r="EJ59" i="13"/>
  <c r="EZ55" i="13"/>
  <c r="GT52" i="13"/>
  <c r="EX89" i="13"/>
  <c r="GT23" i="13"/>
  <c r="EX44" i="13"/>
  <c r="GL37" i="13"/>
  <c r="FX41" i="13"/>
  <c r="EZ65" i="13"/>
  <c r="FH101" i="13"/>
  <c r="GL90" i="13"/>
  <c r="FF87" i="13"/>
  <c r="EZ95" i="13"/>
  <c r="GF62" i="13"/>
  <c r="FX132" i="13"/>
  <c r="EJ26" i="13"/>
  <c r="GD72" i="13"/>
  <c r="FP124" i="13"/>
  <c r="GN57" i="13"/>
  <c r="FV81" i="13"/>
  <c r="FN44" i="13"/>
  <c r="EJ31" i="13"/>
  <c r="GV86" i="13"/>
  <c r="ER109" i="13"/>
  <c r="FP28" i="13"/>
  <c r="EJ63" i="13"/>
  <c r="GV118" i="13"/>
  <c r="EH70" i="13"/>
  <c r="FV53" i="13"/>
  <c r="FF53" i="13"/>
  <c r="FP34" i="13"/>
  <c r="ER108" i="13"/>
  <c r="GT46" i="13"/>
  <c r="EZ54" i="13"/>
  <c r="GV117" i="13"/>
  <c r="ER70" i="13"/>
  <c r="EJ54" i="13"/>
  <c r="EZ34" i="13"/>
  <c r="GV55" i="13"/>
  <c r="GT109" i="13"/>
  <c r="EX66" i="13"/>
  <c r="EH42" i="13"/>
  <c r="GT83" i="13"/>
  <c r="FH53" i="13"/>
  <c r="ER71" i="13"/>
  <c r="GL43" i="13"/>
  <c r="FF62" i="13"/>
  <c r="ER22" i="13"/>
  <c r="EH48" i="13"/>
  <c r="GN22" i="13"/>
  <c r="FN104" i="13"/>
  <c r="FF28" i="13"/>
  <c r="FP133" i="13"/>
  <c r="FN106" i="13"/>
  <c r="GT49" i="13"/>
  <c r="FN97" i="13"/>
  <c r="EJ41" i="13"/>
  <c r="FV41" i="13"/>
  <c r="FP84" i="13"/>
  <c r="FN43" i="13"/>
  <c r="FH94" i="13"/>
  <c r="EH102" i="13"/>
  <c r="FP64" i="13"/>
  <c r="EP90" i="13"/>
  <c r="FV54" i="13"/>
  <c r="EP80" i="13"/>
  <c r="FH63" i="13"/>
  <c r="GT69" i="13"/>
  <c r="FV103" i="13"/>
  <c r="GT62" i="13"/>
  <c r="ER65" i="13"/>
  <c r="EZ58" i="13"/>
  <c r="FP32" i="13"/>
  <c r="FX90" i="13"/>
  <c r="FF97" i="13"/>
  <c r="EP108" i="13"/>
  <c r="EJ90" i="13"/>
  <c r="EX51" i="13"/>
  <c r="EJ117" i="13"/>
  <c r="EH98" i="13"/>
  <c r="EH24" i="13"/>
  <c r="EH28" i="13"/>
  <c r="GV44" i="13"/>
  <c r="GV123" i="13"/>
  <c r="FH55" i="13"/>
  <c r="EP110" i="13"/>
  <c r="GN116" i="13"/>
  <c r="ER41" i="13"/>
  <c r="FH45" i="13"/>
  <c r="GF30" i="13"/>
  <c r="FN51" i="13"/>
  <c r="EH46" i="13"/>
  <c r="GL64" i="13"/>
  <c r="FN108" i="13"/>
  <c r="FP120" i="13"/>
  <c r="FX103" i="13"/>
  <c r="GN104" i="13"/>
  <c r="ER119" i="13"/>
  <c r="EX94" i="13"/>
  <c r="GT97" i="13"/>
  <c r="FP70" i="13"/>
  <c r="FH114" i="13"/>
  <c r="GD99" i="13"/>
  <c r="EH105" i="13"/>
  <c r="ER92" i="13"/>
  <c r="EJ40" i="13"/>
  <c r="FN92" i="13"/>
  <c r="GL82" i="13"/>
  <c r="GD112" i="13"/>
  <c r="FV19" i="13"/>
  <c r="FN81" i="13"/>
  <c r="EH47" i="13"/>
  <c r="EZ96" i="13"/>
  <c r="GD63" i="13"/>
  <c r="FP98" i="13"/>
  <c r="EP41" i="13"/>
  <c r="ER21" i="13"/>
  <c r="FH108" i="13"/>
  <c r="EH78" i="13"/>
  <c r="GN98" i="13"/>
  <c r="GN97" i="13"/>
  <c r="EZ69" i="13"/>
  <c r="GT58" i="13"/>
  <c r="GV75" i="13"/>
  <c r="GL19" i="13"/>
  <c r="GV42" i="13"/>
  <c r="FH120" i="13"/>
  <c r="GF20" i="13"/>
  <c r="FP80" i="13"/>
  <c r="EJ98" i="13"/>
  <c r="GN132" i="13"/>
  <c r="FX124" i="13"/>
  <c r="GD55" i="13"/>
  <c r="FH28" i="13"/>
  <c r="FX35" i="13"/>
  <c r="FP102" i="13"/>
  <c r="FX102" i="13"/>
  <c r="FV52" i="13"/>
  <c r="EJ21" i="13"/>
  <c r="EX68" i="13"/>
  <c r="GT55" i="13"/>
  <c r="ER25" i="13"/>
  <c r="EH73" i="13"/>
  <c r="GV94" i="13"/>
  <c r="EH43" i="13"/>
  <c r="EX74" i="13"/>
  <c r="EJ126" i="13"/>
  <c r="GN65" i="13"/>
  <c r="EZ63" i="13"/>
  <c r="FP132" i="13"/>
  <c r="FX106" i="13"/>
  <c r="FH35" i="13"/>
  <c r="EB94" i="13"/>
  <c r="GV61" i="13"/>
  <c r="GF104" i="13"/>
  <c r="ER100" i="13"/>
  <c r="GT71" i="13"/>
  <c r="GD103" i="13"/>
  <c r="FX101" i="13"/>
  <c r="EJ121" i="13"/>
  <c r="EH55" i="13"/>
  <c r="FN19" i="13"/>
  <c r="EX38" i="13"/>
  <c r="EH92" i="13"/>
  <c r="FN49" i="13"/>
  <c r="FF19" i="13"/>
  <c r="GL109" i="13"/>
  <c r="ER125" i="13"/>
  <c r="GN43" i="13"/>
  <c r="FF92" i="13"/>
  <c r="FF41" i="13"/>
  <c r="FH102" i="13"/>
  <c r="GN46" i="13"/>
  <c r="EJ80" i="13"/>
  <c r="FP117" i="13"/>
  <c r="FF22" i="13"/>
  <c r="EP32" i="13"/>
  <c r="EX46" i="13"/>
  <c r="ER106" i="13"/>
  <c r="GL54" i="13"/>
  <c r="GT44" i="13"/>
  <c r="GV102" i="13"/>
  <c r="EX42" i="13"/>
  <c r="EZ119" i="13"/>
  <c r="GF43" i="13"/>
  <c r="ER105" i="13"/>
  <c r="FH100" i="13"/>
  <c r="GF66" i="13"/>
  <c r="GN34" i="13"/>
  <c r="FV22" i="13"/>
  <c r="FX21" i="13"/>
  <c r="GT22" i="13"/>
  <c r="FN60" i="13"/>
  <c r="FH54" i="13"/>
  <c r="GV122" i="13"/>
  <c r="FX30" i="13"/>
  <c r="FH84" i="13"/>
  <c r="EX98" i="13"/>
  <c r="GV98" i="13"/>
  <c r="GN95" i="13"/>
  <c r="EP66" i="13"/>
  <c r="FX58" i="13"/>
  <c r="FP122" i="13"/>
  <c r="EX82" i="13"/>
  <c r="GV113" i="13"/>
  <c r="GF80" i="13"/>
  <c r="FP100" i="13"/>
  <c r="GN102" i="13"/>
  <c r="FX40" i="13"/>
  <c r="FX79" i="13"/>
  <c r="EJ43" i="13"/>
  <c r="FV56" i="13"/>
  <c r="FX56" i="13"/>
  <c r="FN75" i="13"/>
  <c r="GL96" i="13"/>
  <c r="EZ100" i="13"/>
  <c r="GD98" i="13"/>
  <c r="FV70" i="13"/>
  <c r="GT53" i="13"/>
  <c r="FH113" i="13"/>
  <c r="EZ107" i="13"/>
  <c r="GF63" i="13"/>
  <c r="EZ99" i="13"/>
  <c r="ER107" i="13"/>
  <c r="ER67" i="13"/>
  <c r="EH85" i="13"/>
  <c r="EP107" i="13"/>
  <c r="GT25" i="13"/>
  <c r="EX105" i="13"/>
  <c r="FF72" i="13"/>
  <c r="GF60" i="13"/>
  <c r="EJ113" i="13"/>
  <c r="EX48" i="13"/>
  <c r="GN29" i="13"/>
  <c r="EP96" i="13"/>
  <c r="GV68" i="13"/>
  <c r="FH59" i="13"/>
  <c r="GT98" i="13"/>
  <c r="GD97" i="13"/>
  <c r="EP22" i="13"/>
  <c r="GL98" i="13"/>
  <c r="EH57" i="13"/>
  <c r="FX49" i="13"/>
  <c r="GL74" i="13"/>
  <c r="FF46" i="13"/>
  <c r="EZ79" i="13"/>
  <c r="EH103" i="13"/>
  <c r="FV63" i="13"/>
  <c r="GN74" i="13"/>
  <c r="FF49" i="13"/>
  <c r="EX25" i="13"/>
  <c r="GF130" i="13"/>
  <c r="GV80" i="13"/>
  <c r="GF46" i="13"/>
  <c r="EP61" i="13"/>
  <c r="FV80" i="13"/>
  <c r="GF120" i="13"/>
  <c r="FF45" i="13"/>
  <c r="GD20" i="13"/>
  <c r="ER28" i="13"/>
  <c r="GF57" i="13"/>
  <c r="FH115" i="13"/>
  <c r="GN108" i="13"/>
  <c r="GT105" i="13"/>
  <c r="GD41" i="13"/>
  <c r="GN55" i="13"/>
  <c r="FN69" i="13"/>
  <c r="FH70" i="13"/>
  <c r="EX101" i="13"/>
  <c r="GV103" i="13"/>
  <c r="EJ82" i="13"/>
  <c r="FX55" i="13"/>
  <c r="FH25" i="13"/>
  <c r="EH75" i="13"/>
  <c r="GL101" i="13"/>
  <c r="GD76" i="13"/>
  <c r="FP43" i="13"/>
  <c r="FF61" i="13"/>
  <c r="GN40" i="13"/>
  <c r="GF110" i="13"/>
  <c r="FH95" i="13"/>
  <c r="GN42" i="13"/>
  <c r="FV99" i="13"/>
  <c r="GF108" i="13"/>
  <c r="GD19" i="13"/>
  <c r="GV93" i="13"/>
  <c r="GF76" i="13"/>
  <c r="FX110" i="13"/>
  <c r="EJ84" i="13"/>
  <c r="FX81" i="13"/>
  <c r="FP99" i="13"/>
  <c r="EZ56" i="13"/>
  <c r="GL86" i="13"/>
  <c r="FX117" i="13"/>
  <c r="GF25" i="13"/>
  <c r="GL92" i="13"/>
  <c r="EJ105" i="13"/>
  <c r="FP46" i="13"/>
  <c r="GT33" i="13"/>
  <c r="GF100" i="13"/>
  <c r="GL61" i="13"/>
  <c r="GV106" i="13"/>
  <c r="FF54" i="13"/>
  <c r="GD27" i="13"/>
  <c r="EH45" i="13"/>
  <c r="FH38" i="13"/>
  <c r="ER103" i="13"/>
  <c r="FH124" i="13"/>
  <c r="GN105" i="13"/>
  <c r="FF70" i="13"/>
  <c r="EX72" i="13"/>
  <c r="EH91" i="13"/>
  <c r="EX70" i="13"/>
  <c r="FP78" i="13"/>
  <c r="EH63" i="13"/>
  <c r="GN83" i="13"/>
  <c r="GN70" i="13"/>
  <c r="FV104" i="13"/>
  <c r="GN59" i="13"/>
  <c r="GF113" i="13"/>
  <c r="GT74" i="13"/>
  <c r="FN93" i="13"/>
  <c r="EZ133" i="13"/>
  <c r="EB29" i="13"/>
  <c r="GF123" i="13"/>
  <c r="EJ99" i="13"/>
  <c r="ER90" i="13"/>
  <c r="GV54" i="13"/>
  <c r="GF97" i="13"/>
  <c r="GL76" i="13"/>
  <c r="GF71" i="13"/>
  <c r="EJ42" i="13"/>
  <c r="GL21" i="13"/>
  <c r="FP97" i="13"/>
  <c r="EP37" i="13"/>
  <c r="FV100" i="13"/>
  <c r="EB124" i="13"/>
  <c r="FV72" i="13"/>
  <c r="GV31" i="13"/>
  <c r="GD91" i="13"/>
  <c r="EH53" i="13"/>
  <c r="GD73" i="13"/>
  <c r="ER120" i="13"/>
  <c r="FP126" i="13"/>
  <c r="EZ118" i="13"/>
  <c r="GN120" i="13"/>
  <c r="EP109" i="13"/>
  <c r="EB85" i="13"/>
  <c r="GN25" i="13"/>
  <c r="FX123" i="13"/>
  <c r="FP75" i="13"/>
  <c r="FX104" i="13"/>
  <c r="GV22" i="13"/>
  <c r="GF93" i="13"/>
  <c r="GD90" i="13"/>
  <c r="GL94" i="13"/>
  <c r="GL22" i="13"/>
  <c r="FV105" i="13"/>
  <c r="FN59" i="13"/>
  <c r="GD38" i="13"/>
  <c r="ER123" i="13"/>
  <c r="ER78" i="13"/>
  <c r="FP21" i="13"/>
  <c r="GT108" i="13"/>
  <c r="FP22" i="13"/>
  <c r="FH105" i="13"/>
  <c r="EH60" i="13"/>
  <c r="EB25" i="13"/>
  <c r="GD22" i="13"/>
  <c r="GT39" i="13"/>
  <c r="FX77" i="13"/>
  <c r="EX36" i="13"/>
  <c r="GT31" i="13"/>
  <c r="EJ110" i="13"/>
  <c r="EJ64" i="13"/>
  <c r="FV89" i="13"/>
  <c r="ER73" i="13"/>
  <c r="EZ106" i="13"/>
  <c r="FH92" i="13"/>
  <c r="EZ87" i="13"/>
  <c r="FF42" i="13"/>
  <c r="EX21" i="13"/>
  <c r="GD109" i="13"/>
  <c r="GF127" i="13"/>
  <c r="GL47" i="13"/>
  <c r="EB59" i="13"/>
  <c r="GL100" i="13"/>
  <c r="GN39" i="13"/>
  <c r="FP62" i="13"/>
  <c r="EB91" i="13"/>
  <c r="EH100" i="13"/>
  <c r="GT100" i="13"/>
  <c r="GF58" i="13"/>
  <c r="EJ70" i="13"/>
  <c r="EP68" i="13"/>
  <c r="EP78" i="13"/>
  <c r="GN114" i="13"/>
  <c r="FP53" i="13"/>
  <c r="GF121" i="13"/>
  <c r="GT65" i="13"/>
  <c r="FP55" i="13"/>
  <c r="FX93" i="13"/>
  <c r="EZ24" i="13"/>
  <c r="GN53" i="13"/>
  <c r="EJ86" i="13"/>
  <c r="FH130" i="13"/>
  <c r="EJ69" i="13"/>
  <c r="FF59" i="13"/>
  <c r="EP87" i="13"/>
  <c r="GN45" i="13"/>
  <c r="GF107" i="13"/>
  <c r="FN87" i="13"/>
  <c r="GN38" i="13"/>
  <c r="FF95" i="13"/>
  <c r="GF102" i="13"/>
  <c r="GD94" i="13"/>
  <c r="FP25" i="13"/>
  <c r="GT82" i="13"/>
  <c r="GL52" i="13"/>
  <c r="GL83" i="13"/>
  <c r="EP35" i="13"/>
  <c r="FV98" i="13"/>
  <c r="FH46" i="13"/>
  <c r="EJ130" i="13"/>
  <c r="FH22" i="13"/>
  <c r="EJ119" i="13"/>
  <c r="FN109" i="13"/>
  <c r="FP119" i="13"/>
  <c r="FX91" i="13"/>
  <c r="ER35" i="13"/>
  <c r="GT19" i="13"/>
  <c r="EH33" i="13"/>
  <c r="EZ42" i="13"/>
  <c r="FH20" i="13"/>
  <c r="FF93" i="13"/>
  <c r="GF114" i="13"/>
  <c r="EJ71" i="13"/>
  <c r="EP64" i="13"/>
  <c r="GL63" i="13"/>
  <c r="FH31" i="13"/>
  <c r="GD50" i="13"/>
  <c r="EP23" i="13"/>
  <c r="GT68" i="13"/>
  <c r="GD25" i="13"/>
  <c r="EZ105" i="13"/>
  <c r="EX92" i="13"/>
  <c r="GL24" i="13"/>
  <c r="GT110" i="13"/>
  <c r="EX83" i="13"/>
  <c r="EB60" i="13"/>
  <c r="EB68" i="13"/>
  <c r="FP73" i="13"/>
  <c r="EZ113" i="13"/>
  <c r="EJ104" i="13"/>
  <c r="FH64" i="13"/>
  <c r="GV70" i="13"/>
  <c r="FN42" i="13"/>
  <c r="GV85" i="13"/>
  <c r="GL60" i="13"/>
  <c r="GN117" i="13"/>
  <c r="EP42" i="13"/>
  <c r="FV69" i="13"/>
  <c r="GV20" i="13"/>
  <c r="GV56" i="13"/>
  <c r="EJ79" i="13"/>
  <c r="EP26" i="13"/>
  <c r="GT90" i="13"/>
  <c r="GL78" i="13"/>
  <c r="FV55" i="13"/>
  <c r="FV79" i="13"/>
  <c r="DZ33" i="13"/>
  <c r="GD57" i="13"/>
  <c r="EH84" i="13"/>
  <c r="FX22" i="13"/>
  <c r="DZ27" i="13"/>
  <c r="EJ58" i="13"/>
  <c r="GV125" i="13"/>
  <c r="GN26" i="13"/>
  <c r="GN76" i="13"/>
  <c r="EB130" i="13"/>
  <c r="DZ19" i="13"/>
  <c r="ER97" i="13"/>
  <c r="EP65" i="13"/>
  <c r="FX62" i="13"/>
  <c r="DZ58" i="13"/>
  <c r="FV76" i="13"/>
  <c r="EH112" i="13"/>
  <c r="EH72" i="13"/>
  <c r="DZ70" i="13"/>
  <c r="ER44" i="13"/>
  <c r="FN27" i="13"/>
  <c r="FP74" i="13"/>
  <c r="FP39" i="13"/>
  <c r="FV40" i="13"/>
  <c r="GL93" i="13"/>
  <c r="GL59" i="13"/>
  <c r="FP116" i="13"/>
  <c r="FH79" i="13"/>
  <c r="EX57" i="13"/>
  <c r="FH32" i="13"/>
  <c r="FP104" i="13"/>
  <c r="EX22" i="13"/>
  <c r="FP76" i="13"/>
  <c r="GT61" i="13"/>
  <c r="GN133" i="13"/>
  <c r="FF94" i="13"/>
  <c r="GF132" i="13"/>
  <c r="FF58" i="13"/>
  <c r="FP77" i="13"/>
  <c r="EH80" i="13"/>
  <c r="GD37" i="13"/>
  <c r="GD110" i="13"/>
  <c r="FF112" i="13"/>
  <c r="GF84" i="13"/>
  <c r="ER132" i="13"/>
  <c r="FF68" i="13"/>
  <c r="GN79" i="13"/>
  <c r="ER38" i="13"/>
  <c r="GL36" i="13"/>
  <c r="GL79" i="13"/>
  <c r="GF85" i="13"/>
  <c r="FN98" i="13"/>
  <c r="EX62" i="13"/>
  <c r="FN89" i="13"/>
  <c r="EZ92" i="13"/>
  <c r="FF109" i="13"/>
  <c r="EZ38" i="13"/>
  <c r="EJ46" i="13"/>
  <c r="FX53" i="13"/>
  <c r="EH56" i="13"/>
  <c r="EJ28" i="13"/>
  <c r="FH61" i="13"/>
  <c r="GL84" i="13"/>
  <c r="FH74" i="13"/>
  <c r="ER77" i="13"/>
  <c r="EJ29" i="13"/>
  <c r="EP97" i="13"/>
  <c r="GD43" i="13"/>
  <c r="FN41" i="13"/>
  <c r="EH40" i="13"/>
  <c r="EH94" i="13"/>
  <c r="GT92" i="13"/>
  <c r="FV44" i="13"/>
  <c r="EJ114" i="13"/>
  <c r="GL107" i="13"/>
  <c r="FH99" i="13"/>
  <c r="FP38" i="13"/>
  <c r="GN90" i="13"/>
  <c r="GN100" i="13"/>
  <c r="EH89" i="13"/>
  <c r="EP95" i="13"/>
  <c r="FP69" i="13"/>
  <c r="EX78" i="13"/>
  <c r="FV102" i="13"/>
  <c r="EX110" i="13"/>
  <c r="EX27" i="13"/>
  <c r="FN55" i="13"/>
  <c r="FN45" i="13"/>
  <c r="EP84" i="13"/>
  <c r="ER114" i="13"/>
  <c r="FF25" i="13"/>
  <c r="FV73" i="13"/>
  <c r="FP66" i="13"/>
  <c r="FV90" i="13"/>
  <c r="FP58" i="13"/>
  <c r="EB26" i="13"/>
  <c r="GD84" i="13"/>
  <c r="GV73" i="13"/>
  <c r="GF32" i="13"/>
  <c r="ER59" i="13"/>
  <c r="GD79" i="13"/>
  <c r="EH25" i="13"/>
  <c r="GN68" i="13"/>
  <c r="FH131" i="13"/>
  <c r="FV93" i="13"/>
  <c r="FV85" i="13"/>
  <c r="DZ81" i="13"/>
  <c r="GL48" i="13"/>
  <c r="EX47" i="13"/>
  <c r="GL62" i="13"/>
  <c r="EJ85" i="13"/>
  <c r="FV20" i="13"/>
  <c r="FX34" i="13"/>
  <c r="EB102" i="13"/>
  <c r="FH96" i="13"/>
  <c r="FH60" i="13"/>
  <c r="GN78" i="13"/>
  <c r="FP91" i="13"/>
  <c r="EH109" i="13"/>
  <c r="FV28" i="13"/>
  <c r="EP53" i="13"/>
  <c r="ER26" i="13"/>
  <c r="FP31" i="13"/>
  <c r="FF37" i="13"/>
  <c r="FF79" i="13"/>
  <c r="EZ75" i="13"/>
  <c r="GD93" i="13"/>
  <c r="DZ57" i="13"/>
  <c r="GL72" i="13"/>
  <c r="ER122" i="13"/>
  <c r="EB122" i="13"/>
  <c r="DZ40" i="13"/>
  <c r="GV130" i="13"/>
  <c r="GL40" i="13"/>
  <c r="GT102" i="13"/>
  <c r="GT57" i="13"/>
  <c r="EB35" i="13"/>
  <c r="GF59" i="13"/>
  <c r="GV26" i="13"/>
  <c r="EZ98" i="13"/>
  <c r="EB121" i="13"/>
  <c r="DZ47" i="13"/>
  <c r="FX120" i="13"/>
  <c r="EX107" i="13"/>
  <c r="EJ95" i="13"/>
  <c r="EB30" i="13"/>
  <c r="DZ69" i="13"/>
  <c r="EP34" i="13"/>
  <c r="FH83" i="13"/>
  <c r="GT101" i="13"/>
  <c r="EX35" i="13"/>
  <c r="EH93" i="13"/>
  <c r="EP21" i="13"/>
  <c r="GF40" i="13"/>
  <c r="EB104" i="13"/>
  <c r="EX52" i="13"/>
  <c r="FP123" i="13"/>
  <c r="FF90" i="13"/>
  <c r="FH97" i="13"/>
  <c r="EH82" i="13"/>
  <c r="GL66" i="13"/>
  <c r="EH27" i="13"/>
  <c r="FN105" i="13"/>
  <c r="FF21" i="13"/>
  <c r="FX94" i="13"/>
  <c r="FV62" i="13"/>
  <c r="FH91" i="13"/>
  <c r="EB98" i="13"/>
  <c r="EJ133" i="13"/>
  <c r="EB20" i="13"/>
  <c r="FF57" i="13"/>
  <c r="GV63" i="13"/>
  <c r="EX58" i="13"/>
  <c r="FN107" i="13"/>
  <c r="ER117" i="13"/>
  <c r="GN93" i="13"/>
  <c r="EP20" i="13"/>
  <c r="FX68" i="13"/>
  <c r="EZ126" i="13"/>
  <c r="GN80" i="13"/>
  <c r="GF56" i="13"/>
  <c r="EZ67" i="13"/>
  <c r="GV46" i="13"/>
  <c r="EB43" i="13"/>
  <c r="FV23" i="13"/>
  <c r="EX55" i="13"/>
  <c r="FF84" i="13"/>
  <c r="EJ103" i="13"/>
  <c r="GN62" i="13"/>
  <c r="ER53" i="13"/>
  <c r="EP39" i="13"/>
  <c r="EX61" i="13"/>
  <c r="GF28" i="13"/>
  <c r="GN86" i="13"/>
  <c r="FP96" i="13"/>
  <c r="GL44" i="13"/>
  <c r="GF124" i="13"/>
  <c r="GV69" i="13"/>
  <c r="FN47" i="13"/>
  <c r="FN21" i="13"/>
  <c r="FV88" i="13"/>
  <c r="FH66" i="13"/>
  <c r="EZ76" i="13"/>
  <c r="GT24" i="13"/>
  <c r="GV110" i="13"/>
  <c r="GV32" i="13"/>
  <c r="EP104" i="13"/>
  <c r="FX43" i="13"/>
  <c r="GD32" i="13"/>
  <c r="GN101" i="13"/>
  <c r="EP52" i="13"/>
  <c r="EZ86" i="13"/>
  <c r="EH66" i="13"/>
  <c r="GN72" i="13"/>
  <c r="GF73" i="13"/>
  <c r="EJ102" i="13"/>
  <c r="FN111" i="13"/>
  <c r="EX28" i="13"/>
  <c r="EH88" i="13"/>
  <c r="GV77" i="13"/>
  <c r="EZ104" i="13"/>
  <c r="EX109" i="13"/>
  <c r="EX45" i="13"/>
  <c r="FF110" i="13"/>
  <c r="GN35" i="13"/>
  <c r="GF105" i="13"/>
  <c r="FF106" i="13"/>
  <c r="GL95" i="13"/>
  <c r="GL39" i="13"/>
  <c r="EP98" i="13"/>
  <c r="EP76" i="13"/>
  <c r="EP69" i="13"/>
  <c r="GL20" i="13"/>
  <c r="GD88" i="13"/>
  <c r="FP86" i="13"/>
  <c r="EZ115" i="13"/>
  <c r="GL81" i="13"/>
  <c r="FF100" i="13"/>
  <c r="FX33" i="13"/>
  <c r="FH73" i="13"/>
  <c r="EJ32" i="13"/>
  <c r="GD31" i="13"/>
  <c r="EH54" i="13"/>
  <c r="FN31" i="13"/>
  <c r="FF102" i="13"/>
  <c r="FN57" i="13"/>
  <c r="FN56" i="13"/>
  <c r="GF29" i="13"/>
  <c r="ER46" i="13"/>
  <c r="GN24" i="13"/>
  <c r="EJ62" i="13"/>
  <c r="FH75" i="13"/>
  <c r="ER32" i="13"/>
  <c r="EJ109" i="13"/>
  <c r="FH76" i="13"/>
  <c r="ER56" i="13"/>
  <c r="GV105" i="13"/>
  <c r="GV74" i="13"/>
  <c r="GL108" i="13"/>
  <c r="GV96" i="13"/>
  <c r="GT81" i="13"/>
  <c r="EZ131" i="13"/>
  <c r="FP115" i="13"/>
  <c r="ER24" i="13"/>
  <c r="GD104" i="13"/>
  <c r="EZ60" i="13"/>
  <c r="FH69" i="13"/>
  <c r="EZ116" i="13"/>
  <c r="EH69" i="13"/>
  <c r="FX29" i="13"/>
  <c r="FV26" i="13"/>
  <c r="EX43" i="13"/>
  <c r="FP85" i="13"/>
  <c r="EJ34" i="13"/>
  <c r="ER29" i="13"/>
  <c r="EX91" i="13"/>
  <c r="EJ83" i="13"/>
  <c r="GV23" i="13"/>
  <c r="FH126" i="13"/>
  <c r="FF48" i="13"/>
  <c r="ER96" i="13"/>
  <c r="EP19" i="13"/>
  <c r="GV53" i="13"/>
  <c r="EJ116" i="13"/>
  <c r="GL73" i="13"/>
  <c r="EP60" i="13"/>
  <c r="GF125" i="13"/>
  <c r="FX66" i="13"/>
  <c r="FP49" i="13"/>
  <c r="FH56" i="13"/>
  <c r="FP92" i="13"/>
  <c r="DZ56" i="13"/>
  <c r="EB90" i="13"/>
  <c r="EX37" i="13"/>
  <c r="GF33" i="13"/>
  <c r="FV84" i="13"/>
  <c r="FX57" i="13"/>
  <c r="FP35" i="13"/>
  <c r="FN83" i="13"/>
  <c r="GT88" i="13"/>
  <c r="EP82" i="13"/>
  <c r="FX73" i="13"/>
  <c r="FN62" i="13"/>
  <c r="EP93" i="13"/>
  <c r="GF22" i="13"/>
  <c r="EB65" i="13"/>
  <c r="FX75" i="13"/>
  <c r="FN63" i="13"/>
  <c r="GN64" i="13"/>
  <c r="GN44" i="13"/>
  <c r="EB69" i="13"/>
  <c r="DZ77" i="13"/>
  <c r="EB125" i="13"/>
  <c r="EX76" i="13"/>
  <c r="ER86" i="13"/>
  <c r="GT67" i="13"/>
  <c r="EP51" i="13"/>
  <c r="DZ97" i="13"/>
  <c r="EH34" i="13"/>
  <c r="DZ43" i="13"/>
  <c r="GT76" i="13"/>
  <c r="FV106" i="13"/>
  <c r="DZ21" i="13"/>
  <c r="GN60" i="13"/>
  <c r="DZ82" i="13"/>
  <c r="EH99" i="13"/>
  <c r="FX78" i="13"/>
  <c r="GL55" i="13"/>
  <c r="GT84" i="13"/>
  <c r="DZ79" i="13"/>
  <c r="FH133" i="13"/>
  <c r="GT91" i="13"/>
  <c r="FH40" i="13"/>
  <c r="GN107" i="13"/>
  <c r="EX96" i="13"/>
  <c r="GT43" i="13"/>
  <c r="GV131" i="13"/>
  <c r="EP56" i="13"/>
  <c r="EB33" i="13"/>
  <c r="FP83" i="13"/>
  <c r="EP86" i="13"/>
  <c r="FF39" i="13"/>
  <c r="FV43" i="13"/>
  <c r="EX54" i="13"/>
  <c r="FP105" i="13"/>
  <c r="EJ77" i="13"/>
  <c r="EP47" i="13"/>
  <c r="FN24" i="13"/>
  <c r="ER68" i="13"/>
  <c r="GN21" i="13"/>
  <c r="DZ26" i="13"/>
  <c r="EB53" i="13"/>
  <c r="EZ114" i="13"/>
  <c r="FF75" i="13"/>
  <c r="DZ20" i="13"/>
  <c r="EJ127" i="13"/>
  <c r="GT72" i="13"/>
  <c r="GL105" i="13"/>
  <c r="GF70" i="13"/>
  <c r="EB64" i="13"/>
  <c r="FX23" i="13"/>
  <c r="GD48" i="13"/>
  <c r="GN58" i="13"/>
  <c r="EZ78" i="13"/>
  <c r="FH23" i="13"/>
  <c r="FN25" i="13"/>
  <c r="GN115" i="13"/>
  <c r="FP60" i="13"/>
  <c r="EB44" i="13"/>
  <c r="DZ49" i="13"/>
  <c r="EH36" i="13"/>
  <c r="FP24" i="13"/>
  <c r="EB42" i="13"/>
  <c r="DZ108" i="13"/>
  <c r="EB67" i="13"/>
  <c r="FN48" i="13"/>
  <c r="GL111" i="13"/>
  <c r="FX25" i="13"/>
  <c r="EB127" i="13"/>
  <c r="FX133" i="13"/>
  <c r="GD24" i="13"/>
  <c r="GF118" i="13"/>
  <c r="EB103" i="13"/>
  <c r="FH82" i="13"/>
  <c r="DZ32" i="13"/>
  <c r="EJ57" i="13"/>
  <c r="GL26" i="13"/>
  <c r="EB120" i="13"/>
  <c r="FV34" i="13"/>
  <c r="EH44" i="13"/>
  <c r="EH21" i="13"/>
  <c r="FP45" i="13"/>
  <c r="ER101" i="13"/>
  <c r="FV33" i="13"/>
  <c r="EB133" i="13"/>
  <c r="EB107" i="13"/>
  <c r="ER40" i="13"/>
  <c r="EP63" i="13"/>
  <c r="GD81" i="13"/>
  <c r="EZ68" i="13"/>
  <c r="FP101" i="13"/>
  <c r="FX44" i="13"/>
  <c r="EX59" i="13"/>
  <c r="GT94" i="13"/>
  <c r="EB97" i="13"/>
  <c r="FF105" i="13"/>
  <c r="FP26" i="13"/>
  <c r="FN77" i="13"/>
  <c r="GN54" i="13"/>
  <c r="GL69" i="13"/>
  <c r="EB93" i="13"/>
  <c r="EJ96" i="13"/>
  <c r="GV108" i="13"/>
  <c r="DZ92" i="13"/>
  <c r="EB79" i="13"/>
  <c r="EB117" i="13"/>
  <c r="FH42" i="13"/>
  <c r="FV111" i="13"/>
  <c r="GT27" i="13"/>
  <c r="GF90" i="13"/>
  <c r="EB39" i="13"/>
  <c r="GL42" i="13"/>
  <c r="DZ107" i="13"/>
  <c r="GV95" i="13"/>
  <c r="FF91" i="13"/>
  <c r="GL56" i="13"/>
  <c r="EJ87" i="13"/>
  <c r="GL49" i="13"/>
  <c r="FN34" i="13"/>
  <c r="GT96" i="13"/>
  <c r="DZ37" i="13"/>
  <c r="FH57" i="13"/>
  <c r="FF35" i="13"/>
  <c r="DZ76" i="13"/>
  <c r="DZ25" i="13"/>
  <c r="FH116" i="13"/>
  <c r="FP113" i="13"/>
  <c r="GL97" i="13"/>
  <c r="EP75" i="13"/>
  <c r="EH41" i="13"/>
  <c r="FN76" i="13"/>
  <c r="FV61" i="13"/>
  <c r="GD28" i="13"/>
  <c r="GV115" i="13"/>
  <c r="GF81" i="13"/>
  <c r="FH71" i="13"/>
  <c r="FH80" i="13"/>
  <c r="GD51" i="13"/>
  <c r="FH21" i="13"/>
  <c r="EH26" i="13"/>
  <c r="EB92" i="13"/>
  <c r="EH52" i="13"/>
  <c r="EP27" i="13"/>
  <c r="FV50" i="13"/>
  <c r="ER30" i="13"/>
  <c r="DZ60" i="13"/>
  <c r="EH51" i="13"/>
  <c r="EH20" i="13"/>
  <c r="EB109" i="13"/>
  <c r="FH103" i="13"/>
  <c r="DZ87" i="13"/>
  <c r="GT75" i="13"/>
  <c r="EP105" i="13"/>
  <c r="FF86" i="13"/>
  <c r="FH30" i="13"/>
  <c r="FV25" i="13"/>
  <c r="ER84" i="13"/>
  <c r="EP49" i="13"/>
  <c r="ER72" i="13"/>
  <c r="ER99" i="13"/>
  <c r="GT77" i="13"/>
  <c r="EJ45" i="13"/>
  <c r="EH49" i="13"/>
  <c r="EP48" i="13"/>
  <c r="EJ33" i="13"/>
  <c r="GN113" i="13"/>
  <c r="EX65" i="13"/>
  <c r="EH59" i="13"/>
  <c r="FX114" i="13"/>
  <c r="ER81" i="13"/>
  <c r="EP88" i="13"/>
  <c r="EB22" i="13"/>
  <c r="EH67" i="13"/>
  <c r="FH121" i="13"/>
  <c r="EB119" i="13"/>
  <c r="EB58" i="13"/>
  <c r="EB74" i="13"/>
  <c r="GT26" i="13"/>
  <c r="FH119" i="13"/>
  <c r="EP83" i="13"/>
  <c r="EB77" i="13"/>
  <c r="EZ49" i="13"/>
  <c r="GN126" i="13"/>
  <c r="GT73" i="13"/>
  <c r="EB73" i="13"/>
  <c r="EB80" i="13"/>
  <c r="GD64" i="13"/>
  <c r="FX38" i="13"/>
  <c r="FH132" i="13"/>
  <c r="EB71" i="13"/>
  <c r="GF133" i="13"/>
  <c r="FN61" i="13"/>
  <c r="FX31" i="13"/>
  <c r="GV82" i="13"/>
  <c r="DZ93" i="13"/>
  <c r="FX107" i="13"/>
  <c r="FH44" i="13"/>
  <c r="GL106" i="13"/>
  <c r="FN35" i="13"/>
  <c r="DZ78" i="13"/>
  <c r="EB81" i="13"/>
  <c r="GL34" i="13"/>
  <c r="EX93" i="13"/>
  <c r="FF43" i="13"/>
  <c r="FX82" i="13"/>
  <c r="DZ52" i="13"/>
  <c r="FH87" i="13"/>
  <c r="EZ70" i="13"/>
  <c r="EJ118" i="13"/>
  <c r="ER63" i="13"/>
  <c r="GL67" i="13"/>
  <c r="FP29" i="13"/>
  <c r="FN50" i="13"/>
  <c r="ER64" i="13"/>
  <c r="EX73" i="13"/>
  <c r="GV81" i="13"/>
  <c r="EB46" i="13"/>
  <c r="EB70" i="13"/>
  <c r="EP111" i="13"/>
  <c r="EX99" i="13"/>
  <c r="GD60" i="13"/>
  <c r="ER94" i="13"/>
  <c r="GN73" i="13"/>
  <c r="FV27" i="13"/>
  <c r="FP93" i="13"/>
  <c r="EB66" i="13"/>
  <c r="FP67" i="13"/>
  <c r="FF24" i="13"/>
  <c r="EZ25" i="13"/>
  <c r="GV30" i="13"/>
  <c r="EX85" i="13"/>
  <c r="FV24" i="13"/>
  <c r="FP94" i="13"/>
  <c r="EP92" i="13"/>
  <c r="GD65" i="13"/>
  <c r="DZ50" i="13"/>
  <c r="FN52" i="13"/>
  <c r="GN66" i="13"/>
  <c r="EB131" i="13"/>
  <c r="DZ54" i="13"/>
  <c r="GD86" i="13"/>
  <c r="FP42" i="13"/>
  <c r="GN118" i="13"/>
  <c r="DZ53" i="13"/>
  <c r="DZ99" i="13"/>
  <c r="FV42" i="13"/>
  <c r="ER39" i="13"/>
  <c r="EP36" i="13"/>
  <c r="DZ61" i="13"/>
  <c r="EJ92" i="13"/>
  <c r="EB86" i="13"/>
  <c r="FN88" i="13"/>
  <c r="EB101" i="13"/>
  <c r="DZ39" i="13"/>
  <c r="EH76" i="13"/>
  <c r="GT20" i="13"/>
  <c r="EB115" i="13"/>
  <c r="GD54" i="13"/>
  <c r="EX95" i="13"/>
  <c r="EH38" i="13"/>
  <c r="EZ123" i="13"/>
  <c r="FV87" i="13"/>
  <c r="GF61" i="13"/>
  <c r="GT60" i="13"/>
  <c r="EP50" i="13"/>
  <c r="DZ66" i="13"/>
  <c r="GD68" i="13"/>
  <c r="DZ95" i="13"/>
  <c r="DZ96" i="13"/>
  <c r="EB110" i="13"/>
  <c r="FH123" i="13"/>
  <c r="EH81" i="13"/>
  <c r="DZ105" i="13"/>
  <c r="DZ80" i="13"/>
  <c r="EP24" i="13"/>
  <c r="FH39" i="13"/>
  <c r="ER115" i="13"/>
  <c r="FF33" i="13"/>
  <c r="EJ56" i="13"/>
  <c r="EB62" i="13"/>
  <c r="DZ48" i="13"/>
  <c r="FF96" i="13"/>
  <c r="FV107" i="13"/>
  <c r="EZ29" i="13"/>
  <c r="GF131" i="13"/>
  <c r="FN64" i="13"/>
  <c r="EZ66" i="13"/>
  <c r="GV21" i="13"/>
  <c r="EB116" i="13"/>
  <c r="FH81" i="13"/>
  <c r="EB57" i="13"/>
  <c r="EB113" i="13"/>
  <c r="GL71" i="13"/>
  <c r="FH41" i="13"/>
  <c r="FF56" i="13"/>
  <c r="GV97" i="13"/>
  <c r="FN103" i="13"/>
  <c r="EZ45" i="13"/>
  <c r="EB84" i="13"/>
  <c r="EX111" i="13"/>
  <c r="EJ94" i="13"/>
  <c r="EP79" i="13"/>
  <c r="FF44" i="13"/>
  <c r="EB21" i="13"/>
  <c r="EH71" i="13"/>
  <c r="GN77" i="13"/>
  <c r="EB38" i="13"/>
  <c r="DZ28" i="13"/>
  <c r="FX127" i="13"/>
  <c r="GL85" i="13"/>
  <c r="ER95" i="13"/>
  <c r="EJ101" i="13"/>
  <c r="GD66" i="13"/>
  <c r="FP131" i="13"/>
  <c r="FH86" i="13"/>
  <c r="FX95" i="13"/>
  <c r="FH98" i="13"/>
  <c r="DZ23" i="13"/>
  <c r="DZ109" i="13"/>
  <c r="GD106" i="13"/>
  <c r="GL87" i="13"/>
  <c r="EJ115" i="13"/>
  <c r="GL77" i="13"/>
  <c r="GN20" i="13"/>
  <c r="FP20" i="13"/>
  <c r="GD92" i="13"/>
  <c r="GT63" i="13"/>
  <c r="ER126" i="13"/>
  <c r="FF73" i="13"/>
  <c r="GT34" i="13"/>
  <c r="GF31" i="13"/>
  <c r="FF47" i="13"/>
  <c r="GV132" i="13"/>
  <c r="FV36" i="13"/>
  <c r="EZ80" i="13"/>
  <c r="DZ85" i="13"/>
  <c r="FX72" i="13"/>
  <c r="EB76" i="13"/>
  <c r="EZ91" i="13"/>
  <c r="FX131" i="13"/>
  <c r="GD67" i="13"/>
  <c r="ER57" i="13"/>
  <c r="EB23" i="13"/>
  <c r="EX108" i="13"/>
  <c r="EB78" i="13"/>
  <c r="EB72" i="13"/>
  <c r="EB87" i="13"/>
  <c r="GT21" i="13"/>
  <c r="EZ102" i="13"/>
  <c r="FV57" i="13"/>
  <c r="EZ21" i="13"/>
  <c r="GF77" i="13"/>
  <c r="FX32" i="13"/>
  <c r="FV77" i="13"/>
  <c r="GD23" i="13"/>
  <c r="FP72" i="13"/>
  <c r="FF98" i="13"/>
  <c r="FH117" i="13"/>
  <c r="GD87" i="13"/>
  <c r="EJ35" i="13"/>
  <c r="GT47" i="13"/>
  <c r="FF111" i="13"/>
  <c r="EZ125" i="13"/>
  <c r="FV94" i="13"/>
  <c r="EJ76" i="13"/>
  <c r="FX85" i="13"/>
  <c r="DZ38" i="13"/>
  <c r="EX90" i="13"/>
  <c r="EZ44" i="13"/>
  <c r="DZ73" i="13"/>
  <c r="FN99" i="13"/>
  <c r="GV72" i="13"/>
  <c r="EX63" i="13"/>
  <c r="EB61" i="13"/>
  <c r="EB83" i="13"/>
  <c r="EB95" i="13"/>
  <c r="EH19" i="13"/>
  <c r="FP41" i="13"/>
  <c r="FH104" i="13"/>
  <c r="DZ45" i="13"/>
  <c r="DZ103" i="13"/>
  <c r="EX106" i="13"/>
  <c r="EJ73" i="13"/>
  <c r="FV59" i="13"/>
  <c r="EB96" i="13"/>
  <c r="DZ67" i="13"/>
  <c r="FV68" i="13"/>
  <c r="EP101" i="13"/>
  <c r="EP106" i="13"/>
  <c r="GD77" i="13"/>
  <c r="ER61" i="13"/>
  <c r="FF64" i="13"/>
  <c r="ER102" i="13"/>
  <c r="FH65" i="13"/>
  <c r="DZ62" i="13"/>
  <c r="DZ42" i="13"/>
  <c r="GT111" i="13"/>
  <c r="GN63" i="13"/>
  <c r="EP40" i="13"/>
  <c r="GL25" i="13"/>
  <c r="DZ91" i="13"/>
  <c r="FH118" i="13"/>
  <c r="GL103" i="13"/>
  <c r="GV120" i="13"/>
  <c r="FV35" i="13"/>
  <c r="GL75" i="13"/>
  <c r="GF95" i="13"/>
  <c r="GV90" i="13"/>
  <c r="FX20" i="13"/>
  <c r="EJ74" i="13"/>
  <c r="GV24" i="13"/>
  <c r="FV91" i="13"/>
  <c r="DZ84" i="13"/>
  <c r="FN65" i="13"/>
  <c r="FP125" i="13"/>
  <c r="EX112" i="13"/>
  <c r="FV32" i="13"/>
  <c r="EZ81" i="13"/>
  <c r="FN73" i="13"/>
  <c r="FX83" i="13"/>
  <c r="GV41" i="13"/>
  <c r="EZ43" i="13"/>
  <c r="GL53" i="13"/>
  <c r="FX69" i="13"/>
  <c r="GD89" i="13"/>
  <c r="EX26" i="13"/>
  <c r="GD101" i="13"/>
  <c r="GT40" i="13"/>
  <c r="GD102" i="13"/>
  <c r="EB31" i="13"/>
  <c r="FH90" i="13"/>
  <c r="GT106" i="13"/>
  <c r="EZ85" i="13"/>
  <c r="FN96" i="13"/>
  <c r="EH107" i="13"/>
  <c r="DZ112" i="13"/>
  <c r="EB55" i="13"/>
  <c r="FF50" i="13"/>
  <c r="EP112" i="13"/>
  <c r="FH85" i="13"/>
  <c r="FX92" i="13"/>
  <c r="EP94" i="13"/>
  <c r="DZ88" i="13"/>
  <c r="DZ36" i="13"/>
  <c r="GN33" i="13"/>
  <c r="DZ100" i="13"/>
  <c r="EZ30" i="13"/>
  <c r="GT56" i="13"/>
  <c r="GV121" i="13"/>
  <c r="EX23" i="13"/>
  <c r="ER79" i="13"/>
  <c r="GT41" i="13"/>
  <c r="EB105" i="13"/>
  <c r="FV97" i="13"/>
  <c r="GF98" i="13"/>
  <c r="FX122" i="13"/>
  <c r="EZ82" i="13"/>
  <c r="GN131" i="13"/>
  <c r="GV100" i="13"/>
  <c r="EH22" i="13"/>
  <c r="DZ24" i="13"/>
  <c r="EZ61" i="13"/>
  <c r="EJ55" i="13"/>
  <c r="GN121" i="13"/>
  <c r="FN84" i="13"/>
  <c r="FF83" i="13"/>
  <c r="GL102" i="13"/>
  <c r="GN61" i="13"/>
  <c r="FP110" i="13"/>
  <c r="EB49" i="13"/>
  <c r="FH49" i="13"/>
  <c r="EB118" i="13"/>
  <c r="DZ72" i="13"/>
  <c r="GD56" i="13"/>
  <c r="FN33" i="13"/>
  <c r="FX42" i="13"/>
  <c r="EP71" i="13"/>
  <c r="FF67" i="13"/>
  <c r="EH95" i="13"/>
  <c r="EJ49" i="13"/>
  <c r="FV108" i="13"/>
  <c r="FN67" i="13"/>
  <c r="FH34" i="13"/>
  <c r="FF85" i="13"/>
  <c r="ER62" i="13"/>
  <c r="EH86" i="13"/>
  <c r="EJ39" i="13"/>
  <c r="FF99" i="13"/>
  <c r="EZ71" i="13"/>
  <c r="FX84" i="13"/>
  <c r="GT37" i="13"/>
  <c r="GT48" i="13"/>
  <c r="DZ94" i="13"/>
  <c r="GT79" i="13"/>
  <c r="GD74" i="13"/>
  <c r="GF26" i="13"/>
  <c r="GL46" i="13"/>
  <c r="EJ132" i="13"/>
  <c r="GT42" i="13"/>
  <c r="GN106" i="13"/>
  <c r="EJ93" i="13"/>
  <c r="DZ83" i="13"/>
  <c r="GD46" i="13"/>
  <c r="FP79" i="13"/>
  <c r="EP100" i="13"/>
  <c r="ER93" i="13"/>
  <c r="DZ64" i="13"/>
  <c r="FH122" i="13"/>
  <c r="FN70" i="13"/>
  <c r="GT54" i="13"/>
  <c r="EZ26" i="13"/>
  <c r="DZ51" i="13"/>
  <c r="EP54" i="13"/>
  <c r="GL110" i="13"/>
  <c r="FX64" i="13"/>
  <c r="EB32" i="13"/>
  <c r="EB114" i="13"/>
  <c r="FN94" i="13"/>
  <c r="EX81" i="13"/>
  <c r="EH39" i="13"/>
  <c r="EB126" i="13"/>
  <c r="DZ75" i="13"/>
  <c r="EB54" i="13"/>
  <c r="EZ108" i="13"/>
  <c r="DZ98" i="13"/>
  <c r="FX71" i="13"/>
  <c r="FN39" i="13"/>
  <c r="GV43" i="13"/>
  <c r="GF64" i="13"/>
  <c r="DZ102" i="13"/>
  <c r="FP114" i="13"/>
  <c r="GL112" i="13"/>
  <c r="GL35" i="13"/>
  <c r="GF92" i="13"/>
  <c r="FX125" i="13"/>
  <c r="EB123" i="13"/>
  <c r="GN91" i="13"/>
  <c r="FX96" i="13"/>
  <c r="GT45" i="13"/>
  <c r="EB56" i="13"/>
  <c r="GV60" i="13"/>
  <c r="GN31" i="13"/>
  <c r="GV87" i="13"/>
  <c r="FV51" i="13"/>
  <c r="EZ39" i="13"/>
  <c r="FV64" i="13"/>
  <c r="EJ20" i="13"/>
  <c r="EJ97" i="13"/>
  <c r="FH43" i="13"/>
  <c r="GT103" i="13"/>
  <c r="GT66" i="13"/>
  <c r="FH29" i="13"/>
  <c r="GN127" i="13"/>
  <c r="FN26" i="13"/>
  <c r="FV47" i="13"/>
  <c r="GF122" i="13"/>
  <c r="DZ86" i="13"/>
  <c r="ER124" i="13"/>
  <c r="EX64" i="13"/>
  <c r="FX70" i="13"/>
  <c r="FP127" i="13"/>
  <c r="GF101" i="13"/>
  <c r="FV46" i="13"/>
  <c r="FP71" i="13"/>
  <c r="FF78" i="13"/>
  <c r="DZ106" i="13"/>
  <c r="GD100" i="13"/>
  <c r="EJ75" i="13"/>
  <c r="EX34" i="13"/>
  <c r="ER31" i="13"/>
  <c r="DZ41" i="13"/>
  <c r="GV109" i="13"/>
  <c r="EB40" i="13"/>
  <c r="EP72" i="13"/>
  <c r="GD105" i="13"/>
  <c r="DZ65" i="13"/>
  <c r="GF42" i="13"/>
  <c r="EB75" i="13"/>
  <c r="GN49" i="13"/>
  <c r="EZ110" i="13"/>
  <c r="GN56" i="13"/>
  <c r="FN23" i="13"/>
  <c r="GV59" i="13"/>
  <c r="ER113" i="13"/>
  <c r="FP61" i="13"/>
  <c r="EJ66" i="13"/>
  <c r="FH26" i="13"/>
  <c r="FH67" i="13"/>
  <c r="GD33" i="13"/>
  <c r="DZ68" i="13"/>
  <c r="EH50" i="13"/>
  <c r="DZ90" i="13"/>
  <c r="EB106" i="13"/>
  <c r="GF39" i="13"/>
  <c r="GF91" i="13"/>
  <c r="GV133" i="13"/>
  <c r="DZ71" i="13"/>
  <c r="GT50" i="13"/>
  <c r="EB132" i="13"/>
  <c r="ER69" i="13"/>
  <c r="EB34" i="13"/>
  <c r="EZ33" i="13"/>
  <c r="DZ35" i="13"/>
  <c r="EJ30" i="13"/>
  <c r="FF55" i="13"/>
  <c r="EX19" i="13"/>
  <c r="DZ110" i="13"/>
  <c r="GN103" i="13"/>
  <c r="FV67" i="13"/>
  <c r="GF34" i="13"/>
  <c r="EB28" i="13"/>
  <c r="DZ104" i="13"/>
  <c r="EB41" i="13"/>
  <c r="EH65" i="13"/>
  <c r="FP63" i="13"/>
  <c r="GV29" i="13"/>
  <c r="EZ93" i="13"/>
  <c r="DZ46" i="13"/>
  <c r="EB100" i="13"/>
  <c r="FF101" i="13"/>
  <c r="DZ59" i="13"/>
  <c r="GV39" i="13"/>
  <c r="DZ63" i="13"/>
  <c r="GD82" i="13"/>
  <c r="DZ89" i="13"/>
  <c r="EX41" i="13"/>
  <c r="EP33" i="13"/>
  <c r="EX67" i="13"/>
  <c r="GD69" i="13"/>
  <c r="EH79" i="13"/>
  <c r="FH78" i="13"/>
  <c r="GN130" i="13"/>
  <c r="GT78" i="13"/>
  <c r="FH33" i="13"/>
  <c r="GT87" i="13"/>
  <c r="GT28" i="13"/>
  <c r="FX99" i="13"/>
  <c r="FN90" i="13"/>
  <c r="GD96" i="13"/>
  <c r="EB24" i="13"/>
  <c r="FF71" i="13"/>
  <c r="FF40" i="13"/>
  <c r="GV45" i="13"/>
  <c r="FN74" i="13"/>
  <c r="EJ44" i="13"/>
  <c r="EZ20" i="13"/>
  <c r="DZ44" i="13"/>
  <c r="EX103" i="13"/>
  <c r="DZ111" i="13"/>
  <c r="DZ101" i="13"/>
  <c r="GV79" i="13"/>
  <c r="GD59" i="13"/>
  <c r="DZ31" i="13"/>
  <c r="DZ34" i="13"/>
  <c r="EZ59" i="13"/>
  <c r="FV60" i="13"/>
  <c r="EB82" i="13"/>
  <c r="GN92" i="13"/>
  <c r="EB63" i="13"/>
  <c r="FN110" i="13"/>
  <c r="DZ55" i="13"/>
  <c r="EX79" i="13"/>
  <c r="DZ74" i="13"/>
  <c r="ER98" i="13"/>
  <c r="GT64" i="13"/>
  <c r="EX53" i="13"/>
  <c r="EB99" i="13"/>
  <c r="GN23" i="13"/>
  <c r="HJ53" i="13" l="1"/>
  <c r="HP64" i="13"/>
  <c r="HG74" i="13"/>
  <c r="HJ79" i="13"/>
  <c r="HG55" i="13"/>
  <c r="HL110" i="13"/>
  <c r="HM60" i="13"/>
  <c r="HG34" i="13"/>
  <c r="HG31" i="13"/>
  <c r="HN59" i="13"/>
  <c r="HG101" i="13"/>
  <c r="HJ103" i="13"/>
  <c r="HG44" i="13"/>
  <c r="HL74" i="13"/>
  <c r="HK40" i="13"/>
  <c r="HK71" i="13"/>
  <c r="HN96" i="13"/>
  <c r="HL90" i="13"/>
  <c r="HP28" i="13"/>
  <c r="HP87" i="13"/>
  <c r="HP78" i="13"/>
  <c r="HH79" i="13"/>
  <c r="HN69" i="13"/>
  <c r="HJ67" i="13"/>
  <c r="HI33" i="13"/>
  <c r="HJ41" i="13"/>
  <c r="HN82" i="13"/>
  <c r="HG63" i="13"/>
  <c r="HG59" i="13"/>
  <c r="HK101" i="13"/>
  <c r="HG46" i="13"/>
  <c r="HH65" i="13"/>
  <c r="HG104" i="13"/>
  <c r="HM67" i="13"/>
  <c r="HG110" i="13"/>
  <c r="HK55" i="13"/>
  <c r="HG35" i="13"/>
  <c r="HG71" i="13"/>
  <c r="HG90" i="13"/>
  <c r="HG68" i="13"/>
  <c r="HN33" i="13"/>
  <c r="HL23" i="13"/>
  <c r="HG65" i="13"/>
  <c r="HN105" i="13"/>
  <c r="HI72" i="13"/>
  <c r="HG41" i="13"/>
  <c r="HJ34" i="13"/>
  <c r="HN100" i="13"/>
  <c r="HG106" i="13"/>
  <c r="HK78" i="13"/>
  <c r="HM46" i="13"/>
  <c r="HJ64" i="13"/>
  <c r="HG86" i="13"/>
  <c r="HL26" i="13"/>
  <c r="HP66" i="13"/>
  <c r="HP103" i="13"/>
  <c r="HM64" i="13"/>
  <c r="HP45" i="13"/>
  <c r="HO35" i="13"/>
  <c r="HG102" i="13"/>
  <c r="HL39" i="13"/>
  <c r="HG98" i="13"/>
  <c r="HG75" i="13"/>
  <c r="HH39" i="13"/>
  <c r="HJ81" i="13"/>
  <c r="HL94" i="13"/>
  <c r="HO110" i="13"/>
  <c r="HI54" i="13"/>
  <c r="HP54" i="13"/>
  <c r="HL70" i="13"/>
  <c r="HG64" i="13"/>
  <c r="HI100" i="13"/>
  <c r="HN46" i="13"/>
  <c r="HG83" i="13"/>
  <c r="HP42" i="13"/>
  <c r="HO46" i="13"/>
  <c r="HN74" i="13"/>
  <c r="HP79" i="13"/>
  <c r="HG94" i="13"/>
  <c r="HK99" i="13"/>
  <c r="HH86" i="13"/>
  <c r="HK85" i="13"/>
  <c r="HL67" i="13"/>
  <c r="HM108" i="13"/>
  <c r="HH95" i="13"/>
  <c r="HK67" i="13"/>
  <c r="HI71" i="13"/>
  <c r="HL33" i="13"/>
  <c r="HN56" i="13"/>
  <c r="HG72" i="13"/>
  <c r="HO102" i="13"/>
  <c r="HK83" i="13"/>
  <c r="HL84" i="13"/>
  <c r="HG24" i="13"/>
  <c r="HH22" i="13"/>
  <c r="HM97" i="13"/>
  <c r="HP41" i="13"/>
  <c r="HJ23" i="13"/>
  <c r="HP56" i="13"/>
  <c r="HG100" i="13"/>
  <c r="HI94" i="13"/>
  <c r="HH107" i="13"/>
  <c r="HL96" i="13"/>
  <c r="HP106" i="13"/>
  <c r="HN102" i="13"/>
  <c r="HP40" i="13"/>
  <c r="HN101" i="13"/>
  <c r="HJ26" i="13"/>
  <c r="HO53" i="13"/>
  <c r="HL73" i="13"/>
  <c r="HM32" i="13"/>
  <c r="HL65" i="13"/>
  <c r="HG84" i="13"/>
  <c r="HM91" i="13"/>
  <c r="HO75" i="13"/>
  <c r="HM35" i="13"/>
  <c r="HO103" i="13"/>
  <c r="HG91" i="13"/>
  <c r="HO25" i="13"/>
  <c r="HI40" i="13"/>
  <c r="HG42" i="13"/>
  <c r="HG62" i="13"/>
  <c r="HK64" i="13"/>
  <c r="HN77" i="13"/>
  <c r="HI106" i="13"/>
  <c r="HI101" i="13"/>
  <c r="HM68" i="13"/>
  <c r="HG67" i="13"/>
  <c r="HM59" i="13"/>
  <c r="HJ106" i="13"/>
  <c r="HG103" i="13"/>
  <c r="HG45" i="13"/>
  <c r="HJ63" i="13"/>
  <c r="HL99" i="13"/>
  <c r="HG73" i="13"/>
  <c r="HJ90" i="13"/>
  <c r="HG38" i="13"/>
  <c r="HM94" i="13"/>
  <c r="HN87" i="13"/>
  <c r="HK98" i="13"/>
  <c r="HN23" i="13"/>
  <c r="HM77" i="13"/>
  <c r="HM57" i="13"/>
  <c r="HP21" i="13"/>
  <c r="HJ108" i="13"/>
  <c r="HN67" i="13"/>
  <c r="HG85" i="13"/>
  <c r="HP34" i="13"/>
  <c r="HK73" i="13"/>
  <c r="HP63" i="13"/>
  <c r="HN92" i="13"/>
  <c r="HO77" i="13"/>
  <c r="HO87" i="13"/>
  <c r="HN106" i="13"/>
  <c r="HG109" i="13"/>
  <c r="HG23" i="13"/>
  <c r="HN66" i="13"/>
  <c r="HO85" i="13"/>
  <c r="HG28" i="13"/>
  <c r="HH71" i="13"/>
  <c r="HK44" i="13"/>
  <c r="HI79" i="13"/>
  <c r="HL103" i="13"/>
  <c r="HK56" i="13"/>
  <c r="HO71" i="13"/>
  <c r="HL64" i="13"/>
  <c r="HM107" i="13"/>
  <c r="HK96" i="13"/>
  <c r="HK33" i="13"/>
  <c r="HI24" i="13"/>
  <c r="HG80" i="13"/>
  <c r="HG105" i="13"/>
  <c r="HH81" i="13"/>
  <c r="HG96" i="13"/>
  <c r="HG95" i="13"/>
  <c r="HN68" i="13"/>
  <c r="HG66" i="13"/>
  <c r="HP60" i="13"/>
  <c r="HM87" i="13"/>
  <c r="HH38" i="13"/>
  <c r="HJ95" i="13"/>
  <c r="HN54" i="13"/>
  <c r="HP20" i="13"/>
  <c r="HH76" i="13"/>
  <c r="HG39" i="13"/>
  <c r="HG61" i="13"/>
  <c r="HM42" i="13"/>
  <c r="HG99" i="13"/>
  <c r="HG53" i="13"/>
  <c r="HN86" i="13"/>
  <c r="HG54" i="13"/>
  <c r="HN65" i="13"/>
  <c r="HI92" i="13"/>
  <c r="HM24" i="13"/>
  <c r="HJ85" i="13"/>
  <c r="HK24" i="13"/>
  <c r="HN60" i="13"/>
  <c r="HJ99" i="13"/>
  <c r="HJ73" i="13"/>
  <c r="HO67" i="13"/>
  <c r="HK43" i="13"/>
  <c r="HJ93" i="13"/>
  <c r="HO34" i="13"/>
  <c r="HG78" i="13"/>
  <c r="HL35" i="13"/>
  <c r="HO106" i="13"/>
  <c r="HG93" i="13"/>
  <c r="HL61" i="13"/>
  <c r="HN64" i="13"/>
  <c r="HP73" i="13"/>
  <c r="HI83" i="13"/>
  <c r="HP26" i="13"/>
  <c r="HH67" i="13"/>
  <c r="HG22" i="13"/>
  <c r="HH59" i="13"/>
  <c r="HJ65" i="13"/>
  <c r="HH49" i="13"/>
  <c r="HP77" i="13"/>
  <c r="HI49" i="13"/>
  <c r="HM25" i="13"/>
  <c r="HK86" i="13"/>
  <c r="HI105" i="13"/>
  <c r="HP75" i="13"/>
  <c r="HG87" i="13"/>
  <c r="HH20" i="13"/>
  <c r="HG60" i="13"/>
  <c r="HH26" i="13"/>
  <c r="HN28" i="13"/>
  <c r="HM61" i="13"/>
  <c r="HL76" i="13"/>
  <c r="HH41" i="13"/>
  <c r="HI75" i="13"/>
  <c r="HO97" i="13"/>
  <c r="HG25" i="13"/>
  <c r="HG76" i="13"/>
  <c r="HK35" i="13"/>
  <c r="HP96" i="13"/>
  <c r="HL34" i="13"/>
  <c r="HO49" i="13"/>
  <c r="HO56" i="13"/>
  <c r="HK91" i="13"/>
  <c r="HG107" i="13"/>
  <c r="HO42" i="13"/>
  <c r="HG92" i="13"/>
  <c r="HO69" i="13"/>
  <c r="HL77" i="13"/>
  <c r="HK105" i="13"/>
  <c r="HP94" i="13"/>
  <c r="HJ59" i="13"/>
  <c r="HN81" i="13"/>
  <c r="HI63" i="13"/>
  <c r="HM33" i="13"/>
  <c r="HH21" i="13"/>
  <c r="HH44" i="13"/>
  <c r="HM34" i="13"/>
  <c r="HO26" i="13"/>
  <c r="HG32" i="13"/>
  <c r="HN24" i="13"/>
  <c r="HG108" i="13"/>
  <c r="HG49" i="13"/>
  <c r="HL25" i="13"/>
  <c r="HO105" i="13"/>
  <c r="HP72" i="13"/>
  <c r="HG20" i="13"/>
  <c r="HK75" i="13"/>
  <c r="HG26" i="13"/>
  <c r="HL24" i="13"/>
  <c r="HJ54" i="13"/>
  <c r="HM43" i="13"/>
  <c r="HK39" i="13"/>
  <c r="HI86" i="13"/>
  <c r="HI56" i="13"/>
  <c r="HP43" i="13"/>
  <c r="HJ96" i="13"/>
  <c r="HP91" i="13"/>
  <c r="HG79" i="13"/>
  <c r="HP84" i="13"/>
  <c r="HO55" i="13"/>
  <c r="HH99" i="13"/>
  <c r="HG82" i="13"/>
  <c r="HG21" i="13"/>
  <c r="HM106" i="13"/>
  <c r="HP76" i="13"/>
  <c r="HG43" i="13"/>
  <c r="HH34" i="13"/>
  <c r="HG97" i="13"/>
  <c r="HP67" i="13"/>
  <c r="HJ76" i="13"/>
  <c r="HG77" i="13"/>
  <c r="HL63" i="13"/>
  <c r="HI93" i="13"/>
  <c r="HL62" i="13"/>
  <c r="HI82" i="13"/>
  <c r="HL83" i="13"/>
  <c r="HM84" i="13"/>
  <c r="HG56" i="13"/>
  <c r="HI60" i="13"/>
  <c r="HO73" i="13"/>
  <c r="HJ91" i="13"/>
  <c r="HJ43" i="13"/>
  <c r="HM26" i="13"/>
  <c r="HH69" i="13"/>
  <c r="HN104" i="13"/>
  <c r="HP81" i="13"/>
  <c r="HO108" i="13"/>
  <c r="HL56" i="13"/>
  <c r="HL57" i="13"/>
  <c r="HK102" i="13"/>
  <c r="HL31" i="13"/>
  <c r="HH54" i="13"/>
  <c r="HN31" i="13"/>
  <c r="HK100" i="13"/>
  <c r="HO81" i="13"/>
  <c r="HO20" i="13"/>
  <c r="HI69" i="13"/>
  <c r="HI76" i="13"/>
  <c r="HI98" i="13"/>
  <c r="HO39" i="13"/>
  <c r="HO95" i="13"/>
  <c r="HK106" i="13"/>
  <c r="HK110" i="13"/>
  <c r="HJ45" i="13"/>
  <c r="HJ109" i="13"/>
  <c r="HJ28" i="13"/>
  <c r="HH66" i="13"/>
  <c r="HN32" i="13"/>
  <c r="HI104" i="13"/>
  <c r="HP24" i="13"/>
  <c r="HL21" i="13"/>
  <c r="HO44" i="13"/>
  <c r="HJ61" i="13"/>
  <c r="HI39" i="13"/>
  <c r="HK84" i="13"/>
  <c r="HJ55" i="13"/>
  <c r="HM23" i="13"/>
  <c r="HI20" i="13"/>
  <c r="HL107" i="13"/>
  <c r="HJ58" i="13"/>
  <c r="HK57" i="13"/>
  <c r="HM62" i="13"/>
  <c r="HK21" i="13"/>
  <c r="HL105" i="13"/>
  <c r="HO66" i="13"/>
  <c r="HH82" i="13"/>
  <c r="HK90" i="13"/>
  <c r="HI21" i="13"/>
  <c r="HH93" i="13"/>
  <c r="HJ35" i="13"/>
  <c r="HP101" i="13"/>
  <c r="HI34" i="13"/>
  <c r="HG69" i="13"/>
  <c r="HJ107" i="13"/>
  <c r="HP57" i="13"/>
  <c r="HP102" i="13"/>
  <c r="HO40" i="13"/>
  <c r="HG40" i="13"/>
  <c r="HO72" i="13"/>
  <c r="HG57" i="13"/>
  <c r="HN93" i="13"/>
  <c r="HK79" i="13"/>
  <c r="HI53" i="13"/>
  <c r="HM28" i="13"/>
  <c r="HH109" i="13"/>
  <c r="HM20" i="13"/>
  <c r="HO62" i="13"/>
  <c r="HG81" i="13"/>
  <c r="HM85" i="13"/>
  <c r="HM93" i="13"/>
  <c r="HH25" i="13"/>
  <c r="HN79" i="13"/>
  <c r="HN84" i="13"/>
  <c r="HM90" i="13"/>
  <c r="HM73" i="13"/>
  <c r="HK25" i="13"/>
  <c r="HI84" i="13"/>
  <c r="HL45" i="13"/>
  <c r="HL55" i="13"/>
  <c r="HJ110" i="13"/>
  <c r="HM102" i="13"/>
  <c r="HJ78" i="13"/>
  <c r="HI95" i="13"/>
  <c r="HO107" i="13"/>
  <c r="HM44" i="13"/>
  <c r="HP92" i="13"/>
  <c r="HH94" i="13"/>
  <c r="HH40" i="13"/>
  <c r="HL41" i="13"/>
  <c r="HN43" i="13"/>
  <c r="HI97" i="13"/>
  <c r="HO84" i="13"/>
  <c r="HH56" i="13"/>
  <c r="HK109" i="13"/>
  <c r="HJ62" i="13"/>
  <c r="HL98" i="13"/>
  <c r="HO79" i="13"/>
  <c r="HK68" i="13"/>
  <c r="HN110" i="13"/>
  <c r="HH80" i="13"/>
  <c r="HK58" i="13"/>
  <c r="HK94" i="13"/>
  <c r="HP61" i="13"/>
  <c r="HJ22" i="13"/>
  <c r="HJ57" i="13"/>
  <c r="HO59" i="13"/>
  <c r="HO93" i="13"/>
  <c r="HM40" i="13"/>
  <c r="HG70" i="13"/>
  <c r="HH72" i="13"/>
  <c r="HM76" i="13"/>
  <c r="HG58" i="13"/>
  <c r="HI65" i="13"/>
  <c r="HH84" i="13"/>
  <c r="HN57" i="13"/>
  <c r="HG33" i="13"/>
  <c r="HM79" i="13"/>
  <c r="HM55" i="13"/>
  <c r="HO78" i="13"/>
  <c r="HP90" i="13"/>
  <c r="HI26" i="13"/>
  <c r="HM69" i="13"/>
  <c r="HI42" i="13"/>
  <c r="HO60" i="13"/>
  <c r="HL42" i="13"/>
  <c r="HJ83" i="13"/>
  <c r="HP110" i="13"/>
  <c r="HO24" i="13"/>
  <c r="HJ92" i="13"/>
  <c r="HN25" i="13"/>
  <c r="HP68" i="13"/>
  <c r="HI23" i="13"/>
  <c r="HO63" i="13"/>
  <c r="HI64" i="13"/>
  <c r="HK93" i="13"/>
  <c r="HH33" i="13"/>
  <c r="HL109" i="13"/>
  <c r="HM98" i="13"/>
  <c r="HI35" i="13"/>
  <c r="HO83" i="13"/>
  <c r="HP82" i="13"/>
  <c r="HN94" i="13"/>
  <c r="HK95" i="13"/>
  <c r="HL87" i="13"/>
  <c r="HI87" i="13"/>
  <c r="HK59" i="13"/>
  <c r="HP65" i="13"/>
  <c r="HI78" i="13"/>
  <c r="HI68" i="13"/>
  <c r="HP100" i="13"/>
  <c r="HH100" i="13"/>
  <c r="HO100" i="13"/>
  <c r="HN109" i="13"/>
  <c r="HJ21" i="13"/>
  <c r="HK42" i="13"/>
  <c r="HP31" i="13"/>
  <c r="HP39" i="13"/>
  <c r="HN22" i="13"/>
  <c r="HH60" i="13"/>
  <c r="HP108" i="13"/>
  <c r="HN38" i="13"/>
  <c r="HL59" i="13"/>
  <c r="HM105" i="13"/>
  <c r="HO22" i="13"/>
  <c r="HO94" i="13"/>
  <c r="HN90" i="13"/>
  <c r="HI109" i="13"/>
  <c r="HN73" i="13"/>
  <c r="HH53" i="13"/>
  <c r="HN91" i="13"/>
  <c r="HM72" i="13"/>
  <c r="HM100" i="13"/>
  <c r="HO21" i="13"/>
  <c r="HO76" i="13"/>
  <c r="HL93" i="13"/>
  <c r="HP74" i="13"/>
  <c r="HM104" i="13"/>
  <c r="HH63" i="13"/>
  <c r="HJ70" i="13"/>
  <c r="HH91" i="13"/>
  <c r="HJ72" i="13"/>
  <c r="HK70" i="13"/>
  <c r="HH45" i="13"/>
  <c r="HK54" i="13"/>
  <c r="HO61" i="13"/>
  <c r="HP33" i="13"/>
  <c r="HO92" i="13"/>
  <c r="HO86" i="13"/>
  <c r="HM99" i="13"/>
  <c r="HK61" i="13"/>
  <c r="HN76" i="13"/>
  <c r="HO101" i="13"/>
  <c r="HH75" i="13"/>
  <c r="HJ101" i="13"/>
  <c r="HL69" i="13"/>
  <c r="HN41" i="13"/>
  <c r="HP105" i="13"/>
  <c r="HN20" i="13"/>
  <c r="HK45" i="13"/>
  <c r="HM80" i="13"/>
  <c r="HI61" i="13"/>
  <c r="HJ25" i="13"/>
  <c r="HK49" i="13"/>
  <c r="HM63" i="13"/>
  <c r="HH103" i="13"/>
  <c r="HK46" i="13"/>
  <c r="HO74" i="13"/>
  <c r="HH57" i="13"/>
  <c r="HO98" i="13"/>
  <c r="HI22" i="13"/>
  <c r="HN97" i="13"/>
  <c r="HP98" i="13"/>
  <c r="HI96" i="13"/>
  <c r="HK72" i="13"/>
  <c r="HJ105" i="13"/>
  <c r="HP25" i="13"/>
  <c r="HI107" i="13"/>
  <c r="HH85" i="13"/>
  <c r="HP53" i="13"/>
  <c r="HM70" i="13"/>
  <c r="HN98" i="13"/>
  <c r="HO96" i="13"/>
  <c r="HL75" i="13"/>
  <c r="HM56" i="13"/>
  <c r="HJ82" i="13"/>
  <c r="HI66" i="13"/>
  <c r="HJ98" i="13"/>
  <c r="HL60" i="13"/>
  <c r="HP22" i="13"/>
  <c r="HM22" i="13"/>
  <c r="HJ42" i="13"/>
  <c r="HP44" i="13"/>
  <c r="HO54" i="13"/>
  <c r="HJ46" i="13"/>
  <c r="HI32" i="13"/>
  <c r="HK22" i="13"/>
  <c r="HK41" i="13"/>
  <c r="HK92" i="13"/>
  <c r="HO109" i="13"/>
  <c r="HL49" i="13"/>
  <c r="HH92" i="13"/>
  <c r="HJ38" i="13"/>
  <c r="HH55" i="13"/>
  <c r="HN103" i="13"/>
  <c r="HP71" i="13"/>
  <c r="HJ74" i="13"/>
  <c r="HH43" i="13"/>
  <c r="HH73" i="13"/>
  <c r="HP55" i="13"/>
  <c r="HJ68" i="13"/>
  <c r="HN55" i="13"/>
  <c r="HP58" i="13"/>
  <c r="HH78" i="13"/>
  <c r="HI41" i="13"/>
  <c r="HN63" i="13"/>
  <c r="HL81" i="13"/>
  <c r="HO82" i="13"/>
  <c r="HL92" i="13"/>
  <c r="HH105" i="13"/>
  <c r="HN99" i="13"/>
  <c r="HP97" i="13"/>
  <c r="HJ94" i="13"/>
  <c r="HL108" i="13"/>
  <c r="HO64" i="13"/>
  <c r="HH46" i="13"/>
  <c r="HI110" i="13"/>
  <c r="HH28" i="13"/>
  <c r="HH24" i="13"/>
  <c r="HH98" i="13"/>
  <c r="HI108" i="13"/>
  <c r="HK97" i="13"/>
  <c r="HP62" i="13"/>
  <c r="HM103" i="13"/>
  <c r="HP69" i="13"/>
  <c r="HI80" i="13"/>
  <c r="HM54" i="13"/>
  <c r="HI90" i="13"/>
  <c r="HH102" i="13"/>
  <c r="HL43" i="13"/>
  <c r="HM41" i="13"/>
  <c r="HL97" i="13"/>
  <c r="HP49" i="13"/>
  <c r="HL106" i="13"/>
  <c r="HK28" i="13"/>
  <c r="HL104" i="13"/>
  <c r="HK62" i="13"/>
  <c r="HO43" i="13"/>
  <c r="HP83" i="13"/>
  <c r="HH42" i="13"/>
  <c r="HJ66" i="13"/>
  <c r="HP109" i="13"/>
  <c r="HP46" i="13"/>
  <c r="HK53" i="13"/>
  <c r="HM53" i="13"/>
  <c r="HH70" i="13"/>
  <c r="HL44" i="13"/>
  <c r="HM81" i="13"/>
  <c r="HN72" i="13"/>
  <c r="HK87" i="13"/>
  <c r="HO90" i="13"/>
  <c r="HJ44" i="13"/>
  <c r="HP23" i="13"/>
  <c r="HP85" i="13"/>
  <c r="HN61" i="13"/>
  <c r="HL82" i="13"/>
  <c r="HL78" i="13"/>
  <c r="HI74" i="13"/>
  <c r="HM38" i="13"/>
  <c r="HH74" i="13"/>
  <c r="HH58" i="13"/>
  <c r="HJ20" i="13"/>
  <c r="HH68" i="13"/>
  <c r="HL53" i="13"/>
  <c r="HL86" i="13"/>
  <c r="HJ97" i="13"/>
  <c r="HO23" i="13"/>
  <c r="HK107" i="13"/>
  <c r="HH32" i="13"/>
  <c r="HJ24" i="13"/>
  <c r="HO41" i="13"/>
  <c r="HI73" i="13"/>
  <c r="HH106" i="13"/>
  <c r="HN95" i="13"/>
  <c r="HI55" i="13"/>
  <c r="HJ104" i="13"/>
  <c r="HO45" i="13"/>
  <c r="HO33" i="13"/>
  <c r="HP86" i="13"/>
  <c r="HI43" i="13"/>
  <c r="HO38" i="13"/>
  <c r="HN80" i="13"/>
  <c r="HL100" i="13"/>
  <c r="HP93" i="13"/>
  <c r="HO58" i="13"/>
  <c r="HL71" i="13"/>
  <c r="HI91" i="13"/>
  <c r="HL102" i="13"/>
  <c r="HH77" i="13"/>
  <c r="HI57" i="13"/>
  <c r="HP32" i="13"/>
  <c r="HI46" i="13"/>
  <c r="HM109" i="13"/>
  <c r="HM110" i="13"/>
  <c r="HN44" i="13"/>
  <c r="HL32" i="13"/>
  <c r="HH62" i="13"/>
  <c r="HK108" i="13"/>
  <c r="HM74" i="13"/>
  <c r="HM49" i="13"/>
  <c r="HO32" i="13"/>
  <c r="HL46" i="13"/>
  <c r="HP70" i="13"/>
  <c r="HI25" i="13"/>
  <c r="HN34" i="13"/>
  <c r="HM65" i="13"/>
  <c r="HJ84" i="13"/>
  <c r="HH61" i="13"/>
  <c r="HO104" i="13"/>
  <c r="HL22" i="13"/>
  <c r="HK66" i="13"/>
  <c r="HK77" i="13"/>
  <c r="HI38" i="13"/>
  <c r="HK103" i="13"/>
  <c r="HI67" i="13"/>
  <c r="HI99" i="13"/>
  <c r="HK74" i="13"/>
  <c r="HH35" i="13"/>
  <c r="HJ86" i="13"/>
  <c r="HN58" i="13"/>
  <c r="HM86" i="13"/>
  <c r="HL95" i="13"/>
  <c r="HJ31" i="13"/>
  <c r="HJ75" i="13"/>
  <c r="HM75" i="13"/>
  <c r="HP80" i="13"/>
  <c r="HH90" i="13"/>
  <c r="HH108" i="13"/>
  <c r="HN70" i="13"/>
  <c r="HK31" i="13"/>
  <c r="HO91" i="13"/>
  <c r="HK80" i="13"/>
  <c r="HI102" i="13"/>
  <c r="HJ32" i="13"/>
  <c r="HL72" i="13"/>
  <c r="HK34" i="13"/>
  <c r="HM101" i="13"/>
  <c r="HH101" i="13"/>
  <c r="HI28" i="13"/>
  <c r="HK65" i="13"/>
  <c r="HJ39" i="13"/>
  <c r="HN75" i="13"/>
  <c r="HJ87" i="13"/>
  <c r="HL58" i="13"/>
  <c r="HL68" i="13"/>
  <c r="HP35" i="13"/>
  <c r="HH96" i="13"/>
  <c r="HK63" i="13"/>
  <c r="HN53" i="13"/>
  <c r="HI62" i="13"/>
  <c r="HO99" i="13"/>
  <c r="HN39" i="13"/>
  <c r="HJ69" i="13"/>
  <c r="HM95" i="13"/>
  <c r="HJ77" i="13"/>
  <c r="HK23" i="13"/>
  <c r="HM39" i="13"/>
  <c r="HL66" i="13"/>
  <c r="HO80" i="13"/>
  <c r="HO65" i="13"/>
  <c r="HK38" i="13"/>
  <c r="HH64" i="13"/>
  <c r="HI85" i="13"/>
  <c r="HL40" i="13"/>
  <c r="HL85" i="13"/>
  <c r="HK76" i="13"/>
  <c r="HN78" i="13"/>
  <c r="HI45" i="13"/>
  <c r="HM66" i="13"/>
  <c r="HJ33" i="13"/>
  <c r="HM78" i="13"/>
  <c r="HL79" i="13"/>
  <c r="HK104" i="13"/>
  <c r="HO68" i="13"/>
  <c r="HH110" i="13"/>
  <c r="HN45" i="13"/>
  <c r="HO28" i="13"/>
  <c r="HH104" i="13"/>
  <c r="HI59" i="13"/>
  <c r="HN62" i="13"/>
  <c r="HP99" i="13"/>
  <c r="HP107" i="13"/>
  <c r="HM71" i="13"/>
  <c r="HM83" i="13"/>
  <c r="HK32" i="13"/>
  <c r="HM31" i="13"/>
  <c r="HH87" i="13"/>
  <c r="HM82" i="13"/>
  <c r="HJ56" i="13"/>
  <c r="HK81" i="13"/>
  <c r="HL20" i="13"/>
  <c r="HI103" i="13"/>
  <c r="HM96" i="13"/>
  <c r="HK26" i="13"/>
  <c r="HL28" i="13"/>
  <c r="HK82" i="13"/>
  <c r="HN21" i="13"/>
  <c r="HP59" i="13"/>
  <c r="HL54" i="13"/>
  <c r="HN49" i="13"/>
  <c r="HN107" i="13"/>
  <c r="HH31" i="13"/>
  <c r="HN35" i="13"/>
  <c r="HK69" i="13"/>
  <c r="HH83" i="13"/>
  <c r="HN83" i="13"/>
  <c r="HO31" i="13"/>
  <c r="HJ40" i="13"/>
  <c r="HM92" i="13"/>
  <c r="HI58" i="13"/>
  <c r="HI81" i="13"/>
  <c r="HO57" i="13"/>
  <c r="HL101" i="13"/>
  <c r="HJ102" i="13"/>
  <c r="HM58" i="13"/>
  <c r="HJ100" i="13"/>
  <c r="HN108" i="13"/>
  <c r="HP95" i="13"/>
  <c r="HL38" i="13"/>
  <c r="HI31" i="13"/>
  <c r="HN40" i="13"/>
  <c r="HH97" i="13"/>
  <c r="HN71" i="13"/>
  <c r="HI77" i="13"/>
  <c r="HJ60" i="13"/>
  <c r="HN42" i="13"/>
  <c r="HK20" i="13"/>
  <c r="HK60" i="13"/>
  <c r="HJ49" i="13"/>
  <c r="HH23" i="13"/>
  <c r="HJ71" i="13"/>
  <c r="HL91" i="13"/>
  <c r="HO70" i="13"/>
  <c r="HM21" i="13"/>
  <c r="HN26" i="13"/>
  <c r="HL80" i="13"/>
  <c r="HP104" i="13"/>
  <c r="HM45" i="13"/>
  <c r="HJ80" i="13"/>
  <c r="HI70" i="13"/>
  <c r="HN85" i="13"/>
  <c r="HP38" i="13"/>
  <c r="HI44" i="13"/>
  <c r="B9" i="21"/>
  <c r="J9" i="21"/>
  <c r="AR6" i="1"/>
  <c r="W6" i="1"/>
  <c r="B6" i="1"/>
  <c r="AG6" i="13"/>
  <c r="CH6" i="1"/>
  <c r="BM6" i="1"/>
  <c r="DZ16" i="13"/>
  <c r="BS20" i="13"/>
  <c r="DZ8" i="13"/>
  <c r="EF10" i="13" l="1"/>
  <c r="EF15" i="13" s="1"/>
  <c r="EF12" i="13"/>
  <c r="CN40" i="13"/>
  <c r="CO13" i="13"/>
  <c r="BN13" i="1" s="1"/>
  <c r="F16" i="21" s="1"/>
  <c r="CN43" i="13"/>
  <c r="CO14" i="13"/>
  <c r="BN14" i="1" s="1"/>
  <c r="F17" i="21" s="1"/>
  <c r="CN46" i="13"/>
  <c r="CO15" i="13"/>
  <c r="BN15" i="1" s="1"/>
  <c r="F18" i="21" s="1"/>
  <c r="DO18" i="13"/>
  <c r="DP18" i="13"/>
  <c r="DQ18" i="13"/>
  <c r="DR18" i="13"/>
  <c r="DS18" i="13"/>
  <c r="DT18" i="13"/>
  <c r="DU18" i="13"/>
  <c r="DV18" i="13"/>
  <c r="DW18" i="13"/>
  <c r="DE18" i="13"/>
  <c r="DF18" i="13"/>
  <c r="DG18" i="13"/>
  <c r="DH18" i="13"/>
  <c r="DI18" i="13"/>
  <c r="DJ18" i="13"/>
  <c r="DK18" i="13"/>
  <c r="DL18" i="13"/>
  <c r="DM18" i="13"/>
  <c r="S11" i="13"/>
  <c r="HN8" i="13" s="1"/>
  <c r="GD8" i="13" l="1"/>
  <c r="HN16" i="13"/>
  <c r="BO15" i="1"/>
  <c r="N18" i="21" s="1"/>
  <c r="BO14" i="1"/>
  <c r="N17" i="21" s="1"/>
  <c r="BO13" i="1"/>
  <c r="N16" i="21" s="1"/>
  <c r="CR42" i="13"/>
  <c r="CX42" i="13"/>
  <c r="DK14" i="13"/>
  <c r="DU14" i="13"/>
  <c r="DN17" i="13"/>
  <c r="DD17" i="13"/>
  <c r="EA15" i="13" l="1"/>
  <c r="CR21" i="13"/>
  <c r="CR48" i="13"/>
  <c r="CX48" i="13"/>
  <c r="CR30" i="13"/>
  <c r="CX30" i="13"/>
  <c r="CS42" i="13"/>
  <c r="CY42" i="13"/>
  <c r="CR41" i="13"/>
  <c r="CR40" i="13" s="1"/>
  <c r="CX41" i="13"/>
  <c r="CL13" i="1" s="1"/>
  <c r="CS41" i="13"/>
  <c r="CY41" i="13"/>
  <c r="CR45" i="13"/>
  <c r="CX45" i="13"/>
  <c r="CR27" i="13"/>
  <c r="CX27" i="13"/>
  <c r="CR39" i="13"/>
  <c r="CX39" i="13"/>
  <c r="CR24" i="13"/>
  <c r="CX24" i="13"/>
  <c r="CR36" i="13"/>
  <c r="CX36" i="13"/>
  <c r="CR33" i="13"/>
  <c r="CX33" i="13"/>
  <c r="DW14" i="13"/>
  <c r="DM14" i="13"/>
  <c r="DJ14" i="13"/>
  <c r="DI14" i="13"/>
  <c r="DH14" i="13"/>
  <c r="DG14" i="13"/>
  <c r="DT14" i="13"/>
  <c r="DS14" i="13"/>
  <c r="DV14" i="13"/>
  <c r="DF14" i="13"/>
  <c r="DD14" i="13"/>
  <c r="DE14" i="13"/>
  <c r="DR14" i="13"/>
  <c r="DQ14" i="13"/>
  <c r="DL14" i="13"/>
  <c r="DN14" i="13"/>
  <c r="DP14" i="13"/>
  <c r="DO14" i="13"/>
  <c r="CL42" i="13"/>
  <c r="CS13" i="13"/>
  <c r="CL41" i="13"/>
  <c r="CM42" i="13"/>
  <c r="CN13" i="13"/>
  <c r="CT13" i="13"/>
  <c r="CB13" i="13"/>
  <c r="CH13" i="13"/>
  <c r="CA42" i="13"/>
  <c r="CG42" i="13"/>
  <c r="CG41" i="13"/>
  <c r="CG13" i="13"/>
  <c r="CA41" i="13"/>
  <c r="CF41" i="13"/>
  <c r="BZ41" i="13"/>
  <c r="BZ42" i="13"/>
  <c r="CF42" i="13"/>
  <c r="CA13" i="13"/>
  <c r="CM9" i="13"/>
  <c r="CZ9" i="13" s="1"/>
  <c r="CM41" i="13"/>
  <c r="N11" i="13"/>
  <c r="HI8" i="13" s="1"/>
  <c r="O11" i="13"/>
  <c r="HJ8" i="13" s="1"/>
  <c r="P11" i="13"/>
  <c r="HK8" i="13" s="1"/>
  <c r="Q11" i="13"/>
  <c r="HL8" i="13" s="1"/>
  <c r="R11" i="13"/>
  <c r="HM8" i="13" s="1"/>
  <c r="T11" i="13"/>
  <c r="HO8" i="13" s="1"/>
  <c r="U11" i="13"/>
  <c r="HP8" i="13" s="1"/>
  <c r="M11" i="13"/>
  <c r="HH8" i="13" s="1"/>
  <c r="EH8" i="13" l="1"/>
  <c r="HH16" i="13"/>
  <c r="GT8" i="13"/>
  <c r="HP16" i="13"/>
  <c r="EX8" i="13"/>
  <c r="HJ16" i="13"/>
  <c r="GL8" i="13"/>
  <c r="HO16" i="13"/>
  <c r="EP8" i="13"/>
  <c r="HI16" i="13"/>
  <c r="FV8" i="13"/>
  <c r="HM16" i="13"/>
  <c r="FN8" i="13"/>
  <c r="HL16" i="13"/>
  <c r="FF8" i="13"/>
  <c r="HK16" i="13"/>
  <c r="CX40" i="13"/>
  <c r="EC15" i="13"/>
  <c r="BT14" i="13" s="1"/>
  <c r="CS40" i="13"/>
  <c r="CX21" i="13"/>
  <c r="CY13" i="13"/>
  <c r="CR26" i="13"/>
  <c r="CR25" i="13" s="1"/>
  <c r="CX26" i="13"/>
  <c r="CL8" i="1" s="1"/>
  <c r="CS32" i="13"/>
  <c r="CY32" i="13"/>
  <c r="CS35" i="13"/>
  <c r="CY35" i="13"/>
  <c r="CS45" i="13"/>
  <c r="CY45" i="13"/>
  <c r="CS21" i="13"/>
  <c r="CY21" i="13"/>
  <c r="CS29" i="13"/>
  <c r="CY29" i="13"/>
  <c r="CS44" i="13"/>
  <c r="CY44" i="13"/>
  <c r="CS23" i="13"/>
  <c r="CY23" i="13"/>
  <c r="CS20" i="13"/>
  <c r="CY20" i="13"/>
  <c r="CS27" i="13"/>
  <c r="CY27" i="13"/>
  <c r="CR29" i="13"/>
  <c r="CR28" i="13" s="1"/>
  <c r="CX29" i="13"/>
  <c r="CL9" i="1" s="1"/>
  <c r="CR44" i="13"/>
  <c r="CR43" i="13" s="1"/>
  <c r="CX44" i="13"/>
  <c r="CL14" i="1" s="1"/>
  <c r="CS24" i="13"/>
  <c r="CY24" i="13"/>
  <c r="CR20" i="13"/>
  <c r="CR19" i="13" s="1"/>
  <c r="CX20" i="13"/>
  <c r="CL6" i="1" s="1"/>
  <c r="CS33" i="13"/>
  <c r="CY33" i="13"/>
  <c r="CS39" i="13"/>
  <c r="CY39" i="13"/>
  <c r="CS48" i="13"/>
  <c r="CY48" i="13"/>
  <c r="CY40" i="13"/>
  <c r="CR35" i="13"/>
  <c r="CR34" i="13" s="1"/>
  <c r="CX35" i="13"/>
  <c r="CL11" i="1" s="1"/>
  <c r="CR32" i="13"/>
  <c r="CR31" i="13" s="1"/>
  <c r="CX32" i="13"/>
  <c r="CL10" i="1" s="1"/>
  <c r="CS30" i="13"/>
  <c r="CY30" i="13"/>
  <c r="CS36" i="13"/>
  <c r="CY36" i="13"/>
  <c r="CS38" i="13"/>
  <c r="CY38" i="13"/>
  <c r="CR47" i="13"/>
  <c r="CR46" i="13" s="1"/>
  <c r="CX47" i="13"/>
  <c r="CL15" i="1" s="1"/>
  <c r="CR23" i="13"/>
  <c r="CR22" i="13" s="1"/>
  <c r="CX23" i="13"/>
  <c r="CL7" i="1" s="1"/>
  <c r="CS26" i="13"/>
  <c r="CY26" i="13"/>
  <c r="CR38" i="13"/>
  <c r="CR37" i="13" s="1"/>
  <c r="CX38" i="13"/>
  <c r="CL12" i="1" s="1"/>
  <c r="CS47" i="13"/>
  <c r="CY47" i="13"/>
  <c r="CL40" i="13"/>
  <c r="CM40" i="13"/>
  <c r="CN7" i="13"/>
  <c r="CT7" i="13"/>
  <c r="CN12" i="13"/>
  <c r="CT12" i="13"/>
  <c r="CN14" i="13"/>
  <c r="CT14" i="13"/>
  <c r="CS9" i="13"/>
  <c r="CS11" i="13"/>
  <c r="CM38" i="13"/>
  <c r="CS12" i="13"/>
  <c r="CN9" i="13"/>
  <c r="CT9" i="13"/>
  <c r="CM39" i="13"/>
  <c r="CS10" i="13"/>
  <c r="CS8" i="13"/>
  <c r="CM47" i="13"/>
  <c r="CS15" i="13"/>
  <c r="CL44" i="13"/>
  <c r="CL47" i="13"/>
  <c r="CM48" i="13"/>
  <c r="CN8" i="13"/>
  <c r="CT8" i="13"/>
  <c r="CN10" i="13"/>
  <c r="CT10" i="13"/>
  <c r="CL45" i="13"/>
  <c r="CN15" i="13"/>
  <c r="CT15" i="13"/>
  <c r="CS6" i="13"/>
  <c r="CM44" i="13"/>
  <c r="CS14" i="13"/>
  <c r="CL13" i="13"/>
  <c r="BP13" i="1" s="1"/>
  <c r="CR13" i="13"/>
  <c r="CK13" i="1" s="1"/>
  <c r="CN11" i="13"/>
  <c r="CT11" i="13"/>
  <c r="CL38" i="13"/>
  <c r="CL48" i="13"/>
  <c r="CM45" i="13"/>
  <c r="CS7" i="13"/>
  <c r="CN6" i="13"/>
  <c r="CT6" i="13"/>
  <c r="CL39" i="13"/>
  <c r="CG40" i="13"/>
  <c r="CF26" i="13"/>
  <c r="BZ26" i="13"/>
  <c r="CB7" i="13"/>
  <c r="CH7" i="13"/>
  <c r="CF35" i="13"/>
  <c r="BZ35" i="13"/>
  <c r="CG26" i="13"/>
  <c r="CA26" i="13"/>
  <c r="CG8" i="13"/>
  <c r="CG24" i="13"/>
  <c r="CA24" i="13"/>
  <c r="CG30" i="13"/>
  <c r="CA30" i="13"/>
  <c r="CF29" i="13"/>
  <c r="BZ29" i="13"/>
  <c r="CG47" i="13"/>
  <c r="CG15" i="13"/>
  <c r="CA47" i="13"/>
  <c r="CG9" i="13"/>
  <c r="CG29" i="13"/>
  <c r="CG28" i="13" s="1"/>
  <c r="CA29" i="13"/>
  <c r="CF39" i="13"/>
  <c r="BZ39" i="13"/>
  <c r="CB14" i="13"/>
  <c r="CH14" i="13"/>
  <c r="CF21" i="13"/>
  <c r="BZ21" i="13"/>
  <c r="CB8" i="13"/>
  <c r="CH8" i="13"/>
  <c r="CB9" i="13"/>
  <c r="CH9" i="13"/>
  <c r="CG27" i="13"/>
  <c r="CA27" i="13"/>
  <c r="CG7" i="13"/>
  <c r="CG23" i="13"/>
  <c r="CA23" i="13"/>
  <c r="CG36" i="13"/>
  <c r="CA36" i="13"/>
  <c r="CF36" i="13"/>
  <c r="BZ36" i="13"/>
  <c r="BZ32" i="13"/>
  <c r="CF32" i="13"/>
  <c r="CG21" i="13"/>
  <c r="CA21" i="13"/>
  <c r="CA44" i="13"/>
  <c r="CG44" i="13"/>
  <c r="CG14" i="13"/>
  <c r="BZ13" i="13"/>
  <c r="Z13" i="1" s="1"/>
  <c r="CF13" i="13"/>
  <c r="AU13" i="1" s="1"/>
  <c r="CF44" i="13"/>
  <c r="BZ44" i="13"/>
  <c r="CF33" i="13"/>
  <c r="BZ33" i="13"/>
  <c r="CG20" i="13"/>
  <c r="CA20" i="13"/>
  <c r="CG6" i="13"/>
  <c r="CB15" i="13"/>
  <c r="CH15" i="13"/>
  <c r="CF38" i="13"/>
  <c r="BZ38" i="13"/>
  <c r="CF24" i="13"/>
  <c r="BZ24" i="13"/>
  <c r="BZ30" i="13"/>
  <c r="CF30" i="13"/>
  <c r="CA32" i="13"/>
  <c r="CG10" i="13"/>
  <c r="CG32" i="13"/>
  <c r="CB6" i="13"/>
  <c r="CH6" i="13"/>
  <c r="CG45" i="13"/>
  <c r="CA45" i="13"/>
  <c r="CF45" i="13"/>
  <c r="BZ45" i="13"/>
  <c r="CB12" i="13"/>
  <c r="CH12" i="13"/>
  <c r="BZ48" i="13"/>
  <c r="CF48" i="13"/>
  <c r="CG35" i="13"/>
  <c r="CA35" i="13"/>
  <c r="CG11" i="13"/>
  <c r="CF47" i="13"/>
  <c r="BZ47" i="13"/>
  <c r="CB10" i="13"/>
  <c r="CH10" i="13"/>
  <c r="CG33" i="13"/>
  <c r="CA33" i="13"/>
  <c r="CG39" i="13"/>
  <c r="CA39" i="13"/>
  <c r="CF40" i="13"/>
  <c r="CF20" i="13"/>
  <c r="BZ20" i="13"/>
  <c r="BZ19" i="13" s="1"/>
  <c r="CF23" i="13"/>
  <c r="BZ23" i="13"/>
  <c r="CB11" i="13"/>
  <c r="CH11" i="13"/>
  <c r="CF27" i="13"/>
  <c r="BZ27" i="13"/>
  <c r="CA48" i="13"/>
  <c r="CG48" i="13"/>
  <c r="CA38" i="13"/>
  <c r="CG12" i="13"/>
  <c r="CG38" i="13"/>
  <c r="CL30" i="13"/>
  <c r="CL27" i="13"/>
  <c r="CL33" i="13"/>
  <c r="CL35" i="13"/>
  <c r="CM21" i="13"/>
  <c r="CM30" i="13"/>
  <c r="CM24" i="13"/>
  <c r="CL23" i="13"/>
  <c r="CL29" i="13"/>
  <c r="CL36" i="13"/>
  <c r="CM35" i="13"/>
  <c r="CM33" i="13"/>
  <c r="CM36" i="13"/>
  <c r="CL24" i="13"/>
  <c r="CL26" i="13"/>
  <c r="CM32" i="13"/>
  <c r="CL21" i="13"/>
  <c r="CL32" i="13"/>
  <c r="CM27" i="13"/>
  <c r="CM10" i="13"/>
  <c r="CZ10" i="13" s="1"/>
  <c r="CM8" i="13"/>
  <c r="CZ8" i="13" s="1"/>
  <c r="CM11" i="13"/>
  <c r="CZ11" i="13" s="1"/>
  <c r="CM26" i="13"/>
  <c r="CM14" i="13"/>
  <c r="CZ14" i="13" s="1"/>
  <c r="CM12" i="13"/>
  <c r="CZ12" i="13" s="1"/>
  <c r="CM7" i="13"/>
  <c r="CZ7" i="13" s="1"/>
  <c r="CM23" i="13"/>
  <c r="CM13" i="13"/>
  <c r="CZ13" i="13" s="1"/>
  <c r="CM6" i="13"/>
  <c r="CZ6" i="13" s="1"/>
  <c r="CM29" i="13"/>
  <c r="CM15" i="13"/>
  <c r="CZ15" i="13" s="1"/>
  <c r="BZ40" i="13"/>
  <c r="CA15" i="13"/>
  <c r="CA9" i="13"/>
  <c r="CA8" i="13"/>
  <c r="CA12" i="13"/>
  <c r="CA7" i="13"/>
  <c r="CA11" i="13"/>
  <c r="CA10" i="13"/>
  <c r="CA14" i="13"/>
  <c r="CA40" i="13"/>
  <c r="DD11" i="13"/>
  <c r="CF19" i="13" l="1"/>
  <c r="CM43" i="13"/>
  <c r="CX25" i="13"/>
  <c r="CX22" i="13"/>
  <c r="CX43" i="13"/>
  <c r="CX46" i="13"/>
  <c r="CX31" i="13"/>
  <c r="CX28" i="13"/>
  <c r="CX37" i="13"/>
  <c r="CX34" i="13"/>
  <c r="CY19" i="13"/>
  <c r="CS19" i="13"/>
  <c r="CS37" i="13"/>
  <c r="CY12" i="13"/>
  <c r="CS46" i="13"/>
  <c r="CL28" i="13"/>
  <c r="CY11" i="13"/>
  <c r="CY6" i="13"/>
  <c r="CY9" i="13"/>
  <c r="CX19" i="13"/>
  <c r="CY43" i="13"/>
  <c r="CS31" i="13"/>
  <c r="CS25" i="13"/>
  <c r="CY25" i="13"/>
  <c r="CY14" i="13"/>
  <c r="CY15" i="13"/>
  <c r="CS28" i="13"/>
  <c r="CS43" i="13"/>
  <c r="CX13" i="13"/>
  <c r="E13" i="1" s="1"/>
  <c r="CY8" i="13"/>
  <c r="CS34" i="13"/>
  <c r="CY10" i="13"/>
  <c r="CY22" i="13"/>
  <c r="CY7" i="13"/>
  <c r="CY46" i="13"/>
  <c r="CS22" i="13"/>
  <c r="CY34" i="13"/>
  <c r="CY37" i="13"/>
  <c r="CA28" i="13"/>
  <c r="CY28" i="13"/>
  <c r="CY31" i="13"/>
  <c r="CL37" i="13"/>
  <c r="CL43" i="13"/>
  <c r="BZ25" i="13"/>
  <c r="CM19" i="13"/>
  <c r="CM46" i="13"/>
  <c r="CA34" i="13"/>
  <c r="CM37" i="13"/>
  <c r="CA19" i="13"/>
  <c r="CA22" i="13"/>
  <c r="CL34" i="13"/>
  <c r="BZ31" i="13"/>
  <c r="CL19" i="13"/>
  <c r="CM34" i="13"/>
  <c r="CL31" i="13"/>
  <c r="CA25" i="13"/>
  <c r="CM22" i="13"/>
  <c r="CA31" i="13"/>
  <c r="CF46" i="13"/>
  <c r="CM31" i="13"/>
  <c r="CL46" i="13"/>
  <c r="CL22" i="13"/>
  <c r="CG19" i="13"/>
  <c r="BZ34" i="13"/>
  <c r="BZ28" i="13"/>
  <c r="CL12" i="13"/>
  <c r="BP12" i="1" s="1"/>
  <c r="CR12" i="13"/>
  <c r="CK12" i="1" s="1"/>
  <c r="CL14" i="13"/>
  <c r="BP14" i="1" s="1"/>
  <c r="CR14" i="13"/>
  <c r="CK14" i="1" s="1"/>
  <c r="CL8" i="13"/>
  <c r="BP8" i="1" s="1"/>
  <c r="CR8" i="13"/>
  <c r="CK8" i="1" s="1"/>
  <c r="CF22" i="13"/>
  <c r="CL15" i="13"/>
  <c r="BP15" i="1" s="1"/>
  <c r="CR15" i="13"/>
  <c r="CK15" i="1" s="1"/>
  <c r="CL7" i="13"/>
  <c r="BP7" i="1" s="1"/>
  <c r="CR7" i="13"/>
  <c r="CK7" i="1" s="1"/>
  <c r="CL6" i="13"/>
  <c r="BP6" i="1" s="1"/>
  <c r="CR6" i="13"/>
  <c r="CK6" i="1" s="1"/>
  <c r="CM28" i="13"/>
  <c r="CL10" i="13"/>
  <c r="BP10" i="1" s="1"/>
  <c r="CR10" i="13"/>
  <c r="CK10" i="1" s="1"/>
  <c r="CL11" i="13"/>
  <c r="BP11" i="1" s="1"/>
  <c r="CR11" i="13"/>
  <c r="CK11" i="1" s="1"/>
  <c r="CL9" i="13"/>
  <c r="BP9" i="1" s="1"/>
  <c r="CR9" i="13"/>
  <c r="CK9" i="1" s="1"/>
  <c r="BZ22" i="13"/>
  <c r="CG34" i="13"/>
  <c r="CM25" i="13"/>
  <c r="CG37" i="13"/>
  <c r="CL25" i="13"/>
  <c r="BZ6" i="13"/>
  <c r="Z6" i="1" s="1"/>
  <c r="CF6" i="13"/>
  <c r="AU6" i="1" s="1"/>
  <c r="CF34" i="13"/>
  <c r="CG25" i="13"/>
  <c r="BZ11" i="13"/>
  <c r="Z11" i="1" s="1"/>
  <c r="CF11" i="13"/>
  <c r="AU11" i="1" s="1"/>
  <c r="BZ8" i="13"/>
  <c r="Z8" i="1" s="1"/>
  <c r="CF8" i="13"/>
  <c r="AU8" i="1" s="1"/>
  <c r="CG43" i="13"/>
  <c r="CF28" i="13"/>
  <c r="BZ10" i="13"/>
  <c r="Z10" i="1" s="1"/>
  <c r="CF10" i="13"/>
  <c r="AU10" i="1" s="1"/>
  <c r="BZ14" i="13"/>
  <c r="Z14" i="1" s="1"/>
  <c r="CF14" i="13"/>
  <c r="AU14" i="1" s="1"/>
  <c r="CG46" i="13"/>
  <c r="CG31" i="13"/>
  <c r="CF37" i="13"/>
  <c r="BZ12" i="13"/>
  <c r="Z12" i="1" s="1"/>
  <c r="CF12" i="13"/>
  <c r="AU12" i="1" s="1"/>
  <c r="BZ7" i="13"/>
  <c r="Z7" i="1" s="1"/>
  <c r="CF7" i="13"/>
  <c r="AU7" i="1" s="1"/>
  <c r="BZ15" i="13"/>
  <c r="Z15" i="1" s="1"/>
  <c r="CF15" i="13"/>
  <c r="AU15" i="1" s="1"/>
  <c r="CF43" i="13"/>
  <c r="CF31" i="13"/>
  <c r="CG22" i="13"/>
  <c r="BZ9" i="13"/>
  <c r="Z9" i="1" s="1"/>
  <c r="CF9" i="13"/>
  <c r="AU9" i="1" s="1"/>
  <c r="CF25" i="13"/>
  <c r="CA43" i="13"/>
  <c r="BZ46" i="13"/>
  <c r="BZ43" i="13"/>
  <c r="CA46" i="13"/>
  <c r="BZ37" i="13"/>
  <c r="CA37" i="13"/>
  <c r="BS14" i="13"/>
  <c r="CX10" i="13" l="1"/>
  <c r="E10" i="1" s="1"/>
  <c r="CX9" i="13"/>
  <c r="E9" i="1" s="1"/>
  <c r="CX12" i="13"/>
  <c r="E12" i="1" s="1"/>
  <c r="CX6" i="13"/>
  <c r="E6" i="1" s="1"/>
  <c r="CX8" i="13"/>
  <c r="E8" i="1" s="1"/>
  <c r="CX15" i="13"/>
  <c r="E15" i="1" s="1"/>
  <c r="CX14" i="13"/>
  <c r="E14" i="1" s="1"/>
  <c r="CX11" i="13"/>
  <c r="E11" i="1" s="1"/>
  <c r="CX7" i="13"/>
  <c r="E7" i="1" s="1"/>
  <c r="B30" i="2"/>
  <c r="B31" i="2"/>
  <c r="C31" i="2"/>
  <c r="D31" i="2"/>
  <c r="E31" i="2"/>
  <c r="F31" i="2"/>
  <c r="AJ71" i="6" l="1" a="1"/>
  <c r="AJ71" i="6" s="1"/>
  <c r="P71" i="19" s="1"/>
  <c r="AJ97" i="6" a="1"/>
  <c r="AJ97" i="6" s="1"/>
  <c r="P97" i="19" s="1"/>
  <c r="AJ113" i="6" a="1"/>
  <c r="AJ113" i="6" s="1"/>
  <c r="P113" i="19" s="1"/>
  <c r="AJ111" i="6" a="1"/>
  <c r="AJ111" i="6" s="1"/>
  <c r="P111" i="19" s="1"/>
  <c r="AJ49" i="6" a="1"/>
  <c r="AJ49" i="6" s="1"/>
  <c r="P49" i="19" s="1"/>
  <c r="AJ62" i="6" a="1"/>
  <c r="AJ62" i="6" s="1"/>
  <c r="P62" i="19" s="1"/>
  <c r="AJ139" i="6" a="1"/>
  <c r="AJ139" i="6" s="1"/>
  <c r="P139" i="19" s="1"/>
  <c r="AJ133" i="6" a="1"/>
  <c r="AJ133" i="6" s="1"/>
  <c r="P133" i="19" s="1"/>
  <c r="AJ99" i="6" a="1"/>
  <c r="AJ99" i="6" s="1"/>
  <c r="P99" i="19" s="1"/>
  <c r="AJ154" i="6" a="1"/>
  <c r="AJ154" i="6" s="1"/>
  <c r="P154" i="19" s="1"/>
  <c r="AJ79" i="6" a="1"/>
  <c r="AJ79" i="6" s="1"/>
  <c r="P79" i="19" s="1"/>
  <c r="AJ151" i="6" a="1"/>
  <c r="AJ151" i="6" s="1"/>
  <c r="P151" i="19" s="1"/>
  <c r="AJ102" i="6" a="1"/>
  <c r="AJ102" i="6" s="1"/>
  <c r="P102" i="19" s="1"/>
  <c r="AJ117" i="6" a="1"/>
  <c r="AJ117" i="6" s="1"/>
  <c r="P117" i="19" s="1"/>
  <c r="AJ60" i="6" a="1"/>
  <c r="AJ60" i="6" s="1"/>
  <c r="P60" i="19" s="1"/>
  <c r="AJ136" i="6" a="1"/>
  <c r="AJ136" i="6" s="1"/>
  <c r="P136" i="19" s="1"/>
  <c r="AJ61" i="6" a="1"/>
  <c r="AJ61" i="6" s="1"/>
  <c r="P61" i="19" s="1"/>
  <c r="AJ83" i="6" a="1"/>
  <c r="AJ83" i="6" s="1"/>
  <c r="P83" i="19" s="1"/>
  <c r="AJ140" i="6" a="1"/>
  <c r="AJ140" i="6" s="1"/>
  <c r="P140" i="19" s="1"/>
  <c r="AJ138" i="6" a="1"/>
  <c r="AJ138" i="6" s="1"/>
  <c r="P138" i="19" s="1"/>
  <c r="AJ78" i="6" a="1"/>
  <c r="AJ78" i="6" s="1"/>
  <c r="P78" i="19" s="1"/>
  <c r="AJ68" i="6" a="1"/>
  <c r="AJ68" i="6" s="1"/>
  <c r="P68" i="19" s="1"/>
  <c r="AJ59" i="6" a="1"/>
  <c r="AJ59" i="6" s="1"/>
  <c r="P59" i="19" s="1"/>
  <c r="AJ109" i="6" a="1"/>
  <c r="AJ109" i="6" s="1"/>
  <c r="P109" i="19" s="1"/>
  <c r="AJ88" i="6" a="1"/>
  <c r="AJ88" i="6" s="1"/>
  <c r="P88" i="19" s="1"/>
  <c r="AJ52" i="6" a="1"/>
  <c r="AJ52" i="6" s="1"/>
  <c r="P52" i="19" s="1"/>
  <c r="AJ70" i="6" a="1"/>
  <c r="AJ70" i="6" s="1"/>
  <c r="P70" i="19" s="1"/>
  <c r="AJ51" i="6" a="1"/>
  <c r="AJ51" i="6" s="1"/>
  <c r="P51" i="19" s="1"/>
  <c r="AJ100" i="6" a="1"/>
  <c r="AJ100" i="6" s="1"/>
  <c r="P100" i="19" s="1"/>
  <c r="AJ143" i="6" a="1"/>
  <c r="AJ143" i="6" s="1"/>
  <c r="P143" i="19" s="1"/>
  <c r="AJ75" i="6" a="1"/>
  <c r="AJ75" i="6" s="1"/>
  <c r="P75" i="19" s="1"/>
  <c r="AJ46" i="6" a="1"/>
  <c r="AJ46" i="6" s="1"/>
  <c r="P46" i="19" s="1"/>
  <c r="AJ72" i="6" a="1"/>
  <c r="AJ72" i="6" s="1"/>
  <c r="P72" i="19" s="1"/>
  <c r="AJ122" i="6" a="1"/>
  <c r="AJ122" i="6" s="1"/>
  <c r="P122" i="19" s="1"/>
  <c r="AJ90" i="6" a="1"/>
  <c r="AJ90" i="6" s="1"/>
  <c r="P90" i="19" s="1"/>
  <c r="AJ144" i="6" a="1"/>
  <c r="AJ144" i="6" s="1"/>
  <c r="P144" i="19" s="1"/>
  <c r="AJ126" i="6" a="1"/>
  <c r="AJ126" i="6" s="1"/>
  <c r="P126" i="19" s="1"/>
  <c r="AJ40" i="6" a="1"/>
  <c r="AJ40" i="6" s="1"/>
  <c r="P40" i="19" s="1"/>
  <c r="AJ50" i="6" a="1"/>
  <c r="AJ50" i="6" s="1"/>
  <c r="P50" i="19" s="1"/>
  <c r="AJ43" i="6" a="1"/>
  <c r="AJ43" i="6" s="1"/>
  <c r="P43" i="19" s="1"/>
  <c r="AJ127" i="6" a="1"/>
  <c r="AJ127" i="6" s="1"/>
  <c r="P127" i="19" s="1"/>
  <c r="AJ69" i="6" a="1"/>
  <c r="AJ69" i="6" s="1"/>
  <c r="P69" i="19" s="1"/>
  <c r="AJ118" i="6" a="1"/>
  <c r="AJ118" i="6" s="1"/>
  <c r="P118" i="19" s="1"/>
  <c r="AJ87" i="6" a="1"/>
  <c r="AJ87" i="6" s="1"/>
  <c r="P87" i="19" s="1"/>
  <c r="AJ137" i="6" a="1"/>
  <c r="AJ137" i="6" s="1"/>
  <c r="P137" i="19" s="1"/>
  <c r="AJ94" i="6" a="1"/>
  <c r="AJ94" i="6" s="1"/>
  <c r="P94" i="19" s="1"/>
  <c r="AJ148" i="6" a="1"/>
  <c r="AJ148" i="6" s="1"/>
  <c r="P148" i="19" s="1"/>
  <c r="AJ34" i="6" a="1"/>
  <c r="AJ34" i="6" s="1"/>
  <c r="P34" i="19" s="1"/>
  <c r="AJ48" i="6" a="1"/>
  <c r="AJ48" i="6" s="1"/>
  <c r="P48" i="19" s="1"/>
  <c r="AJ106" i="6" a="1"/>
  <c r="AJ106" i="6" s="1"/>
  <c r="P106" i="19" s="1"/>
  <c r="AJ155" i="6" a="1"/>
  <c r="AJ155" i="6" s="1"/>
  <c r="P155" i="19" s="1"/>
  <c r="AJ36" i="6" a="1"/>
  <c r="AJ36" i="6" s="1"/>
  <c r="P36" i="19" s="1"/>
  <c r="AJ53" i="6" a="1"/>
  <c r="AJ53" i="6" s="1"/>
  <c r="P53" i="19" s="1"/>
  <c r="AJ146" i="6" a="1"/>
  <c r="AJ146" i="6" s="1"/>
  <c r="P146" i="19" s="1"/>
  <c r="AJ63" i="6" a="1"/>
  <c r="AJ63" i="6" s="1"/>
  <c r="P63" i="19" s="1"/>
  <c r="AJ92" i="6" a="1"/>
  <c r="AJ92" i="6" s="1"/>
  <c r="P92" i="19" s="1"/>
  <c r="AJ44" i="6" a="1"/>
  <c r="AJ44" i="6" s="1"/>
  <c r="P44" i="19" s="1"/>
  <c r="AJ56" i="6" a="1"/>
  <c r="AJ56" i="6" s="1"/>
  <c r="P56" i="19" s="1"/>
  <c r="AJ57" i="6" a="1"/>
  <c r="AJ57" i="6" s="1"/>
  <c r="P57" i="19" s="1"/>
  <c r="AJ85" i="6" a="1"/>
  <c r="AJ85" i="6" s="1"/>
  <c r="P85" i="19" s="1"/>
  <c r="AJ121" i="6" a="1"/>
  <c r="AJ121" i="6" s="1"/>
  <c r="P121" i="19" s="1"/>
  <c r="AJ110" i="6" a="1"/>
  <c r="AJ110" i="6" s="1"/>
  <c r="P110" i="19" s="1"/>
  <c r="AJ153" i="6" a="1"/>
  <c r="AJ153" i="6" s="1"/>
  <c r="P153" i="19" s="1"/>
  <c r="AJ47" i="6" a="1"/>
  <c r="AJ47" i="6" s="1"/>
  <c r="P47" i="19" s="1"/>
  <c r="AJ58" i="6" a="1"/>
  <c r="AJ58" i="6" s="1"/>
  <c r="P58" i="19" s="1"/>
  <c r="AJ65" i="6" a="1"/>
  <c r="AJ65" i="6" s="1"/>
  <c r="P65" i="19" s="1"/>
  <c r="AJ98" i="6" a="1"/>
  <c r="AJ98" i="6" s="1"/>
  <c r="P98" i="19" s="1"/>
  <c r="AJ80" i="6" a="1"/>
  <c r="AJ80" i="6" s="1"/>
  <c r="P80" i="19" s="1"/>
  <c r="AJ157" i="6" a="1"/>
  <c r="AJ157" i="6" s="1"/>
  <c r="P157" i="19" s="1"/>
  <c r="AJ104" i="6" a="1"/>
  <c r="AJ104" i="6" s="1"/>
  <c r="P104" i="19" s="1"/>
  <c r="AJ124" i="6" a="1"/>
  <c r="AJ124" i="6" s="1"/>
  <c r="P124" i="19" s="1"/>
  <c r="AJ76" i="6" a="1"/>
  <c r="AJ76" i="6" s="1"/>
  <c r="P76" i="19" s="1"/>
  <c r="AJ42" i="6" a="1"/>
  <c r="AJ42" i="6" s="1"/>
  <c r="P42" i="19" s="1"/>
  <c r="AJ31" i="6" a="1"/>
  <c r="AJ31" i="6" s="1"/>
  <c r="P31" i="19" s="1"/>
  <c r="AJ64" i="6" a="1"/>
  <c r="AJ64" i="6" s="1"/>
  <c r="P64" i="19" s="1"/>
  <c r="AJ108" i="6" a="1"/>
  <c r="AJ108" i="6" s="1"/>
  <c r="P108" i="19" s="1"/>
  <c r="AJ149" i="6" a="1"/>
  <c r="AJ149" i="6" s="1"/>
  <c r="P149" i="19" s="1"/>
  <c r="AJ82" i="6" a="1"/>
  <c r="AJ82" i="6" s="1"/>
  <c r="P82" i="19" s="1"/>
  <c r="AJ37" i="6" a="1"/>
  <c r="AJ37" i="6" s="1"/>
  <c r="P37" i="19" s="1"/>
  <c r="AJ134" i="6" a="1"/>
  <c r="AJ134" i="6" s="1"/>
  <c r="P134" i="19" s="1"/>
  <c r="AJ112" i="6" a="1"/>
  <c r="AJ112" i="6" s="1"/>
  <c r="P112" i="19" s="1"/>
  <c r="AJ45" i="6" a="1"/>
  <c r="AJ45" i="6" s="1"/>
  <c r="P45" i="19" s="1"/>
  <c r="AJ66" i="6" a="1"/>
  <c r="AJ66" i="6" s="1"/>
  <c r="P66" i="19" s="1"/>
  <c r="AJ129" i="6" a="1"/>
  <c r="AJ129" i="6" s="1"/>
  <c r="P129" i="19" s="1"/>
  <c r="AJ35" i="6" a="1"/>
  <c r="AJ35" i="6" s="1"/>
  <c r="P35" i="19" s="1"/>
  <c r="AJ74" i="6" a="1"/>
  <c r="AJ74" i="6" s="1"/>
  <c r="P74" i="19" s="1"/>
  <c r="AJ77" i="6" a="1"/>
  <c r="AJ77" i="6" s="1"/>
  <c r="P77" i="19" s="1"/>
  <c r="AJ142" i="6" a="1"/>
  <c r="AJ142" i="6" s="1"/>
  <c r="P142" i="19" s="1"/>
  <c r="AJ156" i="6" a="1"/>
  <c r="AJ156" i="6" s="1"/>
  <c r="P156" i="19" s="1"/>
  <c r="AJ105" i="6" a="1"/>
  <c r="AJ105" i="6" s="1"/>
  <c r="P105" i="19" s="1"/>
  <c r="AJ32" i="6" a="1"/>
  <c r="AJ32" i="6" s="1"/>
  <c r="P32" i="19" s="1"/>
  <c r="AJ41" i="6" a="1"/>
  <c r="AJ41" i="6" s="1"/>
  <c r="P41" i="19" s="1"/>
  <c r="AJ131" i="6" a="1"/>
  <c r="AJ131" i="6" s="1"/>
  <c r="P131" i="19" s="1"/>
  <c r="AJ86" i="6" a="1"/>
  <c r="AJ86" i="6" s="1"/>
  <c r="P86" i="19" s="1"/>
  <c r="AJ125" i="6" a="1"/>
  <c r="AJ125" i="6" s="1"/>
  <c r="P125" i="19" s="1"/>
  <c r="AJ147" i="6" a="1"/>
  <c r="AJ147" i="6" s="1"/>
  <c r="P147" i="19" s="1"/>
  <c r="AJ141" i="6" a="1"/>
  <c r="AJ141" i="6" s="1"/>
  <c r="P141" i="19" s="1"/>
  <c r="AJ119" i="6" a="1"/>
  <c r="AJ119" i="6" s="1"/>
  <c r="P119" i="19" s="1"/>
  <c r="AJ38" i="6" a="1"/>
  <c r="AJ38" i="6" s="1"/>
  <c r="P38" i="19" s="1"/>
  <c r="AJ96" i="6" a="1"/>
  <c r="AJ96" i="6" s="1"/>
  <c r="P96" i="19" s="1"/>
  <c r="AJ39" i="6" a="1"/>
  <c r="AJ39" i="6" s="1"/>
  <c r="P39" i="19" s="1"/>
  <c r="AJ128" i="6" a="1"/>
  <c r="AJ128" i="6" s="1"/>
  <c r="P128" i="19" s="1"/>
  <c r="AJ103" i="6" a="1"/>
  <c r="AJ103" i="6" s="1"/>
  <c r="P103" i="19" s="1"/>
  <c r="AJ135" i="6" a="1"/>
  <c r="AJ135" i="6" s="1"/>
  <c r="P135" i="19" s="1"/>
  <c r="AJ81" i="6" a="1"/>
  <c r="AJ81" i="6" s="1"/>
  <c r="P81" i="19" s="1"/>
  <c r="AJ123" i="6" a="1"/>
  <c r="AJ123" i="6" s="1"/>
  <c r="P123" i="19" s="1"/>
  <c r="AJ33" i="6" a="1"/>
  <c r="AJ33" i="6" s="1"/>
  <c r="P33" i="19" s="1"/>
  <c r="AJ107" i="6" a="1"/>
  <c r="AJ107" i="6" s="1"/>
  <c r="P107" i="19" s="1"/>
  <c r="AJ114" i="6" a="1"/>
  <c r="AJ114" i="6" s="1"/>
  <c r="P114" i="19" s="1"/>
  <c r="AJ73" i="6" a="1"/>
  <c r="AJ73" i="6" s="1"/>
  <c r="P73" i="19" s="1"/>
  <c r="AJ54" i="6" a="1"/>
  <c r="AJ54" i="6" s="1"/>
  <c r="P54" i="19" s="1"/>
  <c r="AJ89" i="6" a="1"/>
  <c r="AJ89" i="6" s="1"/>
  <c r="P89" i="19" s="1"/>
  <c r="AJ150" i="6" a="1"/>
  <c r="AJ150" i="6" s="1"/>
  <c r="P150" i="19" s="1"/>
  <c r="AJ130" i="6" a="1"/>
  <c r="AJ130" i="6" s="1"/>
  <c r="P130" i="19" s="1"/>
  <c r="AJ115" i="6" a="1"/>
  <c r="AJ115" i="6" s="1"/>
  <c r="P115" i="19" s="1"/>
  <c r="AJ55" i="6" a="1"/>
  <c r="AJ55" i="6" s="1"/>
  <c r="P55" i="19" s="1"/>
  <c r="AJ67" i="6" a="1"/>
  <c r="AJ67" i="6" s="1"/>
  <c r="P67" i="19" s="1"/>
  <c r="AJ132" i="6" a="1"/>
  <c r="AJ132" i="6" s="1"/>
  <c r="P132" i="19" s="1"/>
  <c r="AJ120" i="6" a="1"/>
  <c r="AJ120" i="6" s="1"/>
  <c r="P120" i="19" s="1"/>
  <c r="AJ152" i="6" a="1"/>
  <c r="AJ152" i="6" s="1"/>
  <c r="P152" i="19" s="1"/>
  <c r="AJ145" i="6" a="1"/>
  <c r="AJ145" i="6" s="1"/>
  <c r="P145" i="19" s="1"/>
  <c r="AJ101" i="6" a="1"/>
  <c r="AJ101" i="6" s="1"/>
  <c r="P101" i="19" s="1"/>
  <c r="AJ116" i="6" a="1"/>
  <c r="AJ116" i="6" s="1"/>
  <c r="P116" i="19" s="1"/>
  <c r="AJ84" i="6" a="1"/>
  <c r="AJ84" i="6" s="1"/>
  <c r="P84" i="19" s="1"/>
  <c r="AJ93" i="6" a="1"/>
  <c r="AJ93" i="6" s="1"/>
  <c r="P93" i="19" s="1"/>
  <c r="AJ91" i="6" a="1"/>
  <c r="AJ91" i="6" s="1"/>
  <c r="P91" i="19" s="1"/>
  <c r="AJ95" i="6" a="1"/>
  <c r="AJ95" i="6" s="1"/>
  <c r="P95" i="19" s="1"/>
  <c r="AM88" i="6" a="1"/>
  <c r="AM88" i="6" s="1"/>
  <c r="S88" i="19" s="1"/>
  <c r="AM52" i="6" a="1"/>
  <c r="AM52" i="6" s="1"/>
  <c r="S52" i="19" s="1"/>
  <c r="AM70" i="6" a="1"/>
  <c r="AM70" i="6" s="1"/>
  <c r="S70" i="19" s="1"/>
  <c r="AM110" i="6" a="1"/>
  <c r="AM110" i="6" s="1"/>
  <c r="S110" i="19" s="1"/>
  <c r="AM137" i="6" a="1"/>
  <c r="AM137" i="6" s="1"/>
  <c r="S137" i="19" s="1"/>
  <c r="AM94" i="6" a="1"/>
  <c r="AM94" i="6" s="1"/>
  <c r="S94" i="19" s="1"/>
  <c r="AM38" i="6" a="1"/>
  <c r="AM38" i="6" s="1"/>
  <c r="S38" i="19" s="1"/>
  <c r="AM100" i="6" a="1"/>
  <c r="AM100" i="6" s="1"/>
  <c r="S100" i="19" s="1"/>
  <c r="AM46" i="6" a="1"/>
  <c r="AM46" i="6" s="1"/>
  <c r="S46" i="19" s="1"/>
  <c r="AM72" i="6" a="1"/>
  <c r="AM72" i="6" s="1"/>
  <c r="S72" i="19" s="1"/>
  <c r="AM122" i="6" a="1"/>
  <c r="AM122" i="6" s="1"/>
  <c r="S122" i="19" s="1"/>
  <c r="AM144" i="6" a="1"/>
  <c r="AM144" i="6" s="1"/>
  <c r="S144" i="19" s="1"/>
  <c r="AM126" i="6" a="1"/>
  <c r="AM126" i="6" s="1"/>
  <c r="S126" i="19" s="1"/>
  <c r="AM123" i="6" a="1"/>
  <c r="AM123" i="6" s="1"/>
  <c r="S123" i="19" s="1"/>
  <c r="AM50" i="6" a="1"/>
  <c r="AM50" i="6" s="1"/>
  <c r="S50" i="19" s="1"/>
  <c r="AM63" i="6" a="1"/>
  <c r="AM63" i="6" s="1"/>
  <c r="S63" i="19" s="1"/>
  <c r="AM43" i="6" a="1"/>
  <c r="AM43" i="6" s="1"/>
  <c r="S43" i="19" s="1"/>
  <c r="AM95" i="6" a="1"/>
  <c r="AM95" i="6" s="1"/>
  <c r="S95" i="19" s="1"/>
  <c r="AM148" i="6" a="1"/>
  <c r="AM148" i="6" s="1"/>
  <c r="S148" i="19" s="1"/>
  <c r="AM120" i="6" a="1"/>
  <c r="AM120" i="6" s="1"/>
  <c r="S120" i="19" s="1"/>
  <c r="AM97" i="6" a="1"/>
  <c r="AM97" i="6" s="1"/>
  <c r="S97" i="19" s="1"/>
  <c r="AM57" i="6" a="1"/>
  <c r="AM57" i="6" s="1"/>
  <c r="S57" i="19" s="1"/>
  <c r="AM85" i="6" a="1"/>
  <c r="AM85" i="6" s="1"/>
  <c r="S85" i="19" s="1"/>
  <c r="AM121" i="6" a="1"/>
  <c r="AM121" i="6" s="1"/>
  <c r="S121" i="19" s="1"/>
  <c r="AM62" i="6" a="1"/>
  <c r="AM62" i="6" s="1"/>
  <c r="S62" i="19" s="1"/>
  <c r="AM87" i="6" a="1"/>
  <c r="AM87" i="6" s="1"/>
  <c r="S87" i="19" s="1"/>
  <c r="AM73" i="6" a="1"/>
  <c r="AM73" i="6" s="1"/>
  <c r="S73" i="19" s="1"/>
  <c r="AM34" i="6" a="1"/>
  <c r="AM34" i="6" s="1"/>
  <c r="S34" i="19" s="1"/>
  <c r="AM48" i="6" a="1"/>
  <c r="AM48" i="6" s="1"/>
  <c r="S48" i="19" s="1"/>
  <c r="AM127" i="6" a="1"/>
  <c r="AM127" i="6" s="1"/>
  <c r="S127" i="19" s="1"/>
  <c r="AM65" i="6" a="1"/>
  <c r="AM65" i="6" s="1"/>
  <c r="S65" i="19" s="1"/>
  <c r="AM98" i="6" a="1"/>
  <c r="AM98" i="6" s="1"/>
  <c r="S98" i="19" s="1"/>
  <c r="AM115" i="6" a="1"/>
  <c r="AM115" i="6" s="1"/>
  <c r="S115" i="19" s="1"/>
  <c r="AM42" i="6" a="1"/>
  <c r="AM42" i="6" s="1"/>
  <c r="S42" i="19" s="1"/>
  <c r="AM146" i="6" a="1"/>
  <c r="AM146" i="6" s="1"/>
  <c r="S146" i="19" s="1"/>
  <c r="AM131" i="6" a="1"/>
  <c r="AM131" i="6" s="1"/>
  <c r="S131" i="19" s="1"/>
  <c r="AM135" i="6" a="1"/>
  <c r="AM135" i="6" s="1"/>
  <c r="S135" i="19" s="1"/>
  <c r="AM56" i="6" a="1"/>
  <c r="AM56" i="6" s="1"/>
  <c r="S56" i="19" s="1"/>
  <c r="AM139" i="6" a="1"/>
  <c r="AM139" i="6" s="1"/>
  <c r="S139" i="19" s="1"/>
  <c r="AM133" i="6" a="1"/>
  <c r="AM133" i="6" s="1"/>
  <c r="S133" i="19" s="1"/>
  <c r="AM99" i="6" a="1"/>
  <c r="AM99" i="6" s="1"/>
  <c r="S99" i="19" s="1"/>
  <c r="AM78" i="6" a="1"/>
  <c r="AM78" i="6" s="1"/>
  <c r="S78" i="19" s="1"/>
  <c r="AM58" i="6" a="1"/>
  <c r="AM58" i="6" s="1"/>
  <c r="S58" i="19" s="1"/>
  <c r="AM102" i="6" a="1"/>
  <c r="AM102" i="6" s="1"/>
  <c r="S102" i="19" s="1"/>
  <c r="AM75" i="6" a="1"/>
  <c r="AM75" i="6" s="1"/>
  <c r="S75" i="19" s="1"/>
  <c r="AM117" i="6" a="1"/>
  <c r="AM117" i="6" s="1"/>
  <c r="S117" i="19" s="1"/>
  <c r="AM69" i="6" a="1"/>
  <c r="AM69" i="6" s="1"/>
  <c r="S69" i="19" s="1"/>
  <c r="AM129" i="6" a="1"/>
  <c r="AM129" i="6" s="1"/>
  <c r="S129" i="19" s="1"/>
  <c r="AM93" i="6" a="1"/>
  <c r="AM93" i="6" s="1"/>
  <c r="S93" i="19" s="1"/>
  <c r="AM84" i="6" a="1"/>
  <c r="AM84" i="6" s="1"/>
  <c r="S84" i="19" s="1"/>
  <c r="AM91" i="6" a="1"/>
  <c r="AM91" i="6" s="1"/>
  <c r="S91" i="19" s="1"/>
  <c r="AM108" i="6" a="1"/>
  <c r="AM108" i="6" s="1"/>
  <c r="S108" i="19" s="1"/>
  <c r="AM141" i="6" a="1"/>
  <c r="AM141" i="6" s="1"/>
  <c r="S141" i="19" s="1"/>
  <c r="AM82" i="6" a="1"/>
  <c r="AM82" i="6" s="1"/>
  <c r="S82" i="19" s="1"/>
  <c r="AM105" i="6" a="1"/>
  <c r="AM105" i="6" s="1"/>
  <c r="S105" i="19" s="1"/>
  <c r="AM71" i="6" a="1"/>
  <c r="AM71" i="6" s="1"/>
  <c r="S71" i="19" s="1"/>
  <c r="AM113" i="6" a="1"/>
  <c r="AM113" i="6" s="1"/>
  <c r="S113" i="19" s="1"/>
  <c r="AM111" i="6" a="1"/>
  <c r="AM111" i="6" s="1"/>
  <c r="S111" i="19" s="1"/>
  <c r="AM118" i="6" a="1"/>
  <c r="AM118" i="6" s="1"/>
  <c r="S118" i="19" s="1"/>
  <c r="AM49" i="6" a="1"/>
  <c r="AM49" i="6" s="1"/>
  <c r="S49" i="19" s="1"/>
  <c r="AM37" i="6" a="1"/>
  <c r="AM37" i="6" s="1"/>
  <c r="S37" i="19" s="1"/>
  <c r="AM134" i="6" a="1"/>
  <c r="AM134" i="6" s="1"/>
  <c r="S134" i="19" s="1"/>
  <c r="AM112" i="6" a="1"/>
  <c r="AM112" i="6" s="1"/>
  <c r="S112" i="19" s="1"/>
  <c r="AM119" i="6" a="1"/>
  <c r="AM119" i="6" s="1"/>
  <c r="S119" i="19" s="1"/>
  <c r="AM45" i="6" a="1"/>
  <c r="AM45" i="6" s="1"/>
  <c r="S45" i="19" s="1"/>
  <c r="AM96" i="6" a="1"/>
  <c r="AM96" i="6" s="1"/>
  <c r="S96" i="19" s="1"/>
  <c r="AM151" i="6" a="1"/>
  <c r="AM151" i="6" s="1"/>
  <c r="S151" i="19" s="1"/>
  <c r="AM143" i="6" a="1"/>
  <c r="AM143" i="6" s="1"/>
  <c r="S143" i="19" s="1"/>
  <c r="AM53" i="6" a="1"/>
  <c r="AM53" i="6" s="1"/>
  <c r="S53" i="19" s="1"/>
  <c r="AM60" i="6" a="1"/>
  <c r="AM60" i="6" s="1"/>
  <c r="S60" i="19" s="1"/>
  <c r="AM90" i="6" a="1"/>
  <c r="AM90" i="6" s="1"/>
  <c r="S90" i="19" s="1"/>
  <c r="AM35" i="6" a="1"/>
  <c r="AM35" i="6" s="1"/>
  <c r="S35" i="19" s="1"/>
  <c r="AM74" i="6" a="1"/>
  <c r="AM74" i="6" s="1"/>
  <c r="S74" i="19" s="1"/>
  <c r="AM132" i="6" a="1"/>
  <c r="AM132" i="6" s="1"/>
  <c r="S132" i="19" s="1"/>
  <c r="AM32" i="6" a="1"/>
  <c r="AM32" i="6" s="1"/>
  <c r="S32" i="19" s="1"/>
  <c r="AM44" i="6" a="1"/>
  <c r="AM44" i="6" s="1"/>
  <c r="S44" i="19" s="1"/>
  <c r="AM41" i="6" a="1"/>
  <c r="AM41" i="6" s="1"/>
  <c r="S41" i="19" s="1"/>
  <c r="AM140" i="6" a="1"/>
  <c r="AM140" i="6" s="1"/>
  <c r="S140" i="19" s="1"/>
  <c r="AM114" i="6" a="1"/>
  <c r="AM114" i="6" s="1"/>
  <c r="S114" i="19" s="1"/>
  <c r="AM150" i="6" a="1"/>
  <c r="AM150" i="6" s="1"/>
  <c r="S150" i="19" s="1"/>
  <c r="AM51" i="6" a="1"/>
  <c r="AM51" i="6" s="1"/>
  <c r="S51" i="19" s="1"/>
  <c r="AM106" i="6" a="1"/>
  <c r="AM106" i="6" s="1"/>
  <c r="S106" i="19" s="1"/>
  <c r="AM39" i="6" a="1"/>
  <c r="AM39" i="6" s="1"/>
  <c r="S39" i="19" s="1"/>
  <c r="AM124" i="6" a="1"/>
  <c r="AM124" i="6" s="1"/>
  <c r="S124" i="19" s="1"/>
  <c r="AM128" i="6" a="1"/>
  <c r="AM128" i="6" s="1"/>
  <c r="S128" i="19" s="1"/>
  <c r="AM103" i="6" a="1"/>
  <c r="AM103" i="6" s="1"/>
  <c r="S103" i="19" s="1"/>
  <c r="AM81" i="6" a="1"/>
  <c r="AM81" i="6" s="1"/>
  <c r="S81" i="19" s="1"/>
  <c r="AM40" i="6" a="1"/>
  <c r="AM40" i="6" s="1"/>
  <c r="S40" i="19" s="1"/>
  <c r="AM33" i="6" a="1"/>
  <c r="AM33" i="6" s="1"/>
  <c r="S33" i="19" s="1"/>
  <c r="AM147" i="6" a="1"/>
  <c r="AM147" i="6" s="1"/>
  <c r="S147" i="19" s="1"/>
  <c r="AM64" i="6" a="1"/>
  <c r="AM64" i="6" s="1"/>
  <c r="S64" i="19" s="1"/>
  <c r="AM92" i="6" a="1"/>
  <c r="AM92" i="6" s="1"/>
  <c r="S92" i="19" s="1"/>
  <c r="AM152" i="6" a="1"/>
  <c r="AM152" i="6" s="1"/>
  <c r="S152" i="19" s="1"/>
  <c r="AM107" i="6" a="1"/>
  <c r="AM107" i="6" s="1"/>
  <c r="S107" i="19" s="1"/>
  <c r="AM130" i="6" a="1"/>
  <c r="AM130" i="6" s="1"/>
  <c r="S130" i="19" s="1"/>
  <c r="AM155" i="6" a="1"/>
  <c r="AM155" i="6" s="1"/>
  <c r="S155" i="19" s="1"/>
  <c r="AM36" i="6" a="1"/>
  <c r="AM36" i="6" s="1"/>
  <c r="S36" i="19" s="1"/>
  <c r="AM68" i="6" a="1"/>
  <c r="AM68" i="6" s="1"/>
  <c r="S68" i="19" s="1"/>
  <c r="AM55" i="6" a="1"/>
  <c r="AM55" i="6" s="1"/>
  <c r="S55" i="19" s="1"/>
  <c r="AM76" i="6" a="1"/>
  <c r="AM76" i="6" s="1"/>
  <c r="S76" i="19" s="1"/>
  <c r="AM66" i="6" a="1"/>
  <c r="AM66" i="6" s="1"/>
  <c r="S66" i="19" s="1"/>
  <c r="AM156" i="6" a="1"/>
  <c r="AM156" i="6" s="1"/>
  <c r="S156" i="19" s="1"/>
  <c r="AM145" i="6" a="1"/>
  <c r="AM145" i="6" s="1"/>
  <c r="S145" i="19" s="1"/>
  <c r="AM67" i="6" a="1"/>
  <c r="AM67" i="6" s="1"/>
  <c r="S67" i="19" s="1"/>
  <c r="AM77" i="6" a="1"/>
  <c r="AM77" i="6" s="1"/>
  <c r="S77" i="19" s="1"/>
  <c r="AM149" i="6" a="1"/>
  <c r="AM149" i="6" s="1"/>
  <c r="S149" i="19" s="1"/>
  <c r="AM79" i="6" a="1"/>
  <c r="AM79" i="6" s="1"/>
  <c r="S79" i="19" s="1"/>
  <c r="AM136" i="6" a="1"/>
  <c r="AM136" i="6" s="1"/>
  <c r="S136" i="19" s="1"/>
  <c r="AM31" i="6" a="1"/>
  <c r="AM31" i="6" s="1"/>
  <c r="S31" i="19" s="1"/>
  <c r="AM153" i="6" a="1"/>
  <c r="AM153" i="6" s="1"/>
  <c r="S153" i="19" s="1"/>
  <c r="AM154" i="6" a="1"/>
  <c r="AM154" i="6" s="1"/>
  <c r="S154" i="19" s="1"/>
  <c r="AM142" i="6" a="1"/>
  <c r="AM142" i="6" s="1"/>
  <c r="S142" i="19" s="1"/>
  <c r="AM138" i="6" a="1"/>
  <c r="AM138" i="6" s="1"/>
  <c r="S138" i="19" s="1"/>
  <c r="AM47" i="6" a="1"/>
  <c r="AM47" i="6" s="1"/>
  <c r="S47" i="19" s="1"/>
  <c r="AM59" i="6" a="1"/>
  <c r="AM59" i="6" s="1"/>
  <c r="S59" i="19" s="1"/>
  <c r="AM109" i="6" a="1"/>
  <c r="AM109" i="6" s="1"/>
  <c r="S109" i="19" s="1"/>
  <c r="AM54" i="6" a="1"/>
  <c r="AM54" i="6" s="1"/>
  <c r="S54" i="19" s="1"/>
  <c r="AM89" i="6" a="1"/>
  <c r="AM89" i="6" s="1"/>
  <c r="S89" i="19" s="1"/>
  <c r="AM101" i="6" a="1"/>
  <c r="AM101" i="6" s="1"/>
  <c r="S101" i="19" s="1"/>
  <c r="AM116" i="6" a="1"/>
  <c r="AM116" i="6" s="1"/>
  <c r="S116" i="19" s="1"/>
  <c r="AM80" i="6" a="1"/>
  <c r="AM80" i="6" s="1"/>
  <c r="S80" i="19" s="1"/>
  <c r="AM157" i="6" a="1"/>
  <c r="AM157" i="6" s="1"/>
  <c r="S157" i="19" s="1"/>
  <c r="AM104" i="6" a="1"/>
  <c r="AM104" i="6" s="1"/>
  <c r="S104" i="19" s="1"/>
  <c r="AM86" i="6" a="1"/>
  <c r="AM86" i="6" s="1"/>
  <c r="S86" i="19" s="1"/>
  <c r="AM125" i="6" a="1"/>
  <c r="AM125" i="6" s="1"/>
  <c r="S125" i="19" s="1"/>
  <c r="AM83" i="6" a="1"/>
  <c r="AM83" i="6" s="1"/>
  <c r="S83" i="19" s="1"/>
  <c r="AM61" i="6" a="1"/>
  <c r="AM61" i="6" s="1"/>
  <c r="S61" i="19" s="1"/>
  <c r="AL57" i="6" a="1"/>
  <c r="AL57" i="6" s="1"/>
  <c r="R57" i="19" s="1"/>
  <c r="AL85" i="6" a="1"/>
  <c r="AL85" i="6" s="1"/>
  <c r="R85" i="19" s="1"/>
  <c r="AL121" i="6" a="1"/>
  <c r="AL121" i="6" s="1"/>
  <c r="R121" i="19" s="1"/>
  <c r="AL87" i="6" a="1"/>
  <c r="AL87" i="6" s="1"/>
  <c r="R87" i="19" s="1"/>
  <c r="AL34" i="6" a="1"/>
  <c r="AL34" i="6" s="1"/>
  <c r="R34" i="19" s="1"/>
  <c r="AL48" i="6" a="1"/>
  <c r="AL48" i="6" s="1"/>
  <c r="AL130" i="6" a="1"/>
  <c r="AL130" i="6" s="1"/>
  <c r="R130" i="19" s="1"/>
  <c r="AL142" i="6" a="1"/>
  <c r="AL142" i="6" s="1"/>
  <c r="R142" i="19" s="1"/>
  <c r="AL127" i="6" a="1"/>
  <c r="AL127" i="6" s="1"/>
  <c r="R127" i="19" s="1"/>
  <c r="AL65" i="6" a="1"/>
  <c r="AL65" i="6" s="1"/>
  <c r="R65" i="19" s="1"/>
  <c r="AL98" i="6" a="1"/>
  <c r="AL98" i="6" s="1"/>
  <c r="R98" i="19" s="1"/>
  <c r="AL115" i="6" a="1"/>
  <c r="AL115" i="6" s="1"/>
  <c r="R115" i="19" s="1"/>
  <c r="AL90" i="6" a="1"/>
  <c r="AL90" i="6" s="1"/>
  <c r="R90" i="19" s="1"/>
  <c r="AL101" i="6" a="1"/>
  <c r="AL101" i="6" s="1"/>
  <c r="R101" i="19" s="1"/>
  <c r="AL41" i="6" a="1"/>
  <c r="AL41" i="6" s="1"/>
  <c r="R41" i="19" s="1"/>
  <c r="AL56" i="6" a="1"/>
  <c r="AL56" i="6" s="1"/>
  <c r="R56" i="19" s="1"/>
  <c r="AL118" i="6" a="1"/>
  <c r="AL118" i="6" s="1"/>
  <c r="R118" i="19" s="1"/>
  <c r="AL139" i="6" a="1"/>
  <c r="AL139" i="6" s="1"/>
  <c r="R139" i="19" s="1"/>
  <c r="AL137" i="6" a="1"/>
  <c r="AL137" i="6" s="1"/>
  <c r="R137" i="19" s="1"/>
  <c r="AL133" i="6" a="1"/>
  <c r="AL133" i="6" s="1"/>
  <c r="R133" i="19" s="1"/>
  <c r="AL148" i="6" a="1"/>
  <c r="AL148" i="6" s="1"/>
  <c r="R148" i="19" s="1"/>
  <c r="AL79" i="6" a="1"/>
  <c r="AL79" i="6" s="1"/>
  <c r="R79" i="19" s="1"/>
  <c r="AL138" i="6" a="1"/>
  <c r="AL138" i="6" s="1"/>
  <c r="R138" i="19" s="1"/>
  <c r="AL78" i="6" a="1"/>
  <c r="AL78" i="6" s="1"/>
  <c r="R78" i="19" s="1"/>
  <c r="AL58" i="6" a="1"/>
  <c r="AL58" i="6" s="1"/>
  <c r="AL117" i="6" a="1"/>
  <c r="AL117" i="6" s="1"/>
  <c r="R117" i="19" s="1"/>
  <c r="AL69" i="6" a="1"/>
  <c r="AL69" i="6" s="1"/>
  <c r="AL93" i="6" a="1"/>
  <c r="AL93" i="6" s="1"/>
  <c r="R93" i="19" s="1"/>
  <c r="AL84" i="6" a="1"/>
  <c r="AL84" i="6" s="1"/>
  <c r="R84" i="19" s="1"/>
  <c r="AL83" i="6" a="1"/>
  <c r="AL83" i="6" s="1"/>
  <c r="R83" i="19" s="1"/>
  <c r="AL91" i="6" a="1"/>
  <c r="AL91" i="6" s="1"/>
  <c r="R91" i="19" s="1"/>
  <c r="AL39" i="6" a="1"/>
  <c r="AL39" i="6" s="1"/>
  <c r="AL66" i="6" a="1"/>
  <c r="AL66" i="6" s="1"/>
  <c r="AL120" i="6" a="1"/>
  <c r="AL120" i="6" s="1"/>
  <c r="R120" i="19" s="1"/>
  <c r="AL71" i="6" a="1"/>
  <c r="AL71" i="6" s="1"/>
  <c r="R71" i="19" s="1"/>
  <c r="AL97" i="6" a="1"/>
  <c r="AL97" i="6" s="1"/>
  <c r="R97" i="19" s="1"/>
  <c r="AL70" i="6" a="1"/>
  <c r="AL70" i="6" s="1"/>
  <c r="R70" i="19" s="1"/>
  <c r="AL113" i="6" a="1"/>
  <c r="AL113" i="6" s="1"/>
  <c r="AL111" i="6" a="1"/>
  <c r="AL111" i="6" s="1"/>
  <c r="R111" i="19" s="1"/>
  <c r="AL49" i="6" a="1"/>
  <c r="AL49" i="6" s="1"/>
  <c r="R49" i="19" s="1"/>
  <c r="AL110" i="6" a="1"/>
  <c r="AL110" i="6" s="1"/>
  <c r="R110" i="19" s="1"/>
  <c r="AL73" i="6" a="1"/>
  <c r="AL73" i="6" s="1"/>
  <c r="R73" i="19" s="1"/>
  <c r="AL45" i="6" a="1"/>
  <c r="AL45" i="6" s="1"/>
  <c r="R45" i="19" s="1"/>
  <c r="AL96" i="6" a="1"/>
  <c r="AL96" i="6" s="1"/>
  <c r="R96" i="19" s="1"/>
  <c r="AL151" i="6" a="1"/>
  <c r="AL151" i="6" s="1"/>
  <c r="R151" i="19" s="1"/>
  <c r="AL143" i="6" a="1"/>
  <c r="AL143" i="6" s="1"/>
  <c r="R143" i="19" s="1"/>
  <c r="AL72" i="6" a="1"/>
  <c r="AL72" i="6" s="1"/>
  <c r="AL60" i="6" a="1"/>
  <c r="AL60" i="6" s="1"/>
  <c r="AL126" i="6" a="1"/>
  <c r="AL126" i="6" s="1"/>
  <c r="R126" i="19" s="1"/>
  <c r="AL136" i="6" a="1"/>
  <c r="AL136" i="6" s="1"/>
  <c r="R136" i="19" s="1"/>
  <c r="AL42" i="6" a="1"/>
  <c r="AL42" i="6" s="1"/>
  <c r="AL35" i="6" a="1"/>
  <c r="AL35" i="6" s="1"/>
  <c r="R35" i="19" s="1"/>
  <c r="AL61" i="6" a="1"/>
  <c r="AL61" i="6" s="1"/>
  <c r="R61" i="19" s="1"/>
  <c r="AL95" i="6" a="1"/>
  <c r="AL95" i="6" s="1"/>
  <c r="AL123" i="6" a="1"/>
  <c r="AL123" i="6" s="1"/>
  <c r="R123" i="19" s="1"/>
  <c r="AL32" i="6" a="1"/>
  <c r="AL32" i="6" s="1"/>
  <c r="AL52" i="6" a="1"/>
  <c r="AL52" i="6" s="1"/>
  <c r="AL62" i="6" a="1"/>
  <c r="AL62" i="6" s="1"/>
  <c r="R62" i="19" s="1"/>
  <c r="AL150" i="6" a="1"/>
  <c r="AL150" i="6" s="1"/>
  <c r="R150" i="19" s="1"/>
  <c r="AL51" i="6" a="1"/>
  <c r="AL51" i="6" s="1"/>
  <c r="AL102" i="6" a="1"/>
  <c r="AL102" i="6" s="1"/>
  <c r="R102" i="19" s="1"/>
  <c r="AL122" i="6" a="1"/>
  <c r="AL122" i="6" s="1"/>
  <c r="R122" i="19" s="1"/>
  <c r="AL144" i="6" a="1"/>
  <c r="AL144" i="6" s="1"/>
  <c r="R144" i="19" s="1"/>
  <c r="AL129" i="6" a="1"/>
  <c r="AL129" i="6" s="1"/>
  <c r="R129" i="19" s="1"/>
  <c r="AL40" i="6" a="1"/>
  <c r="AL40" i="6" s="1"/>
  <c r="AL77" i="6" a="1"/>
  <c r="AL77" i="6" s="1"/>
  <c r="R77" i="19" s="1"/>
  <c r="AL33" i="6" a="1"/>
  <c r="AL33" i="6" s="1"/>
  <c r="AL105" i="6" a="1"/>
  <c r="AL105" i="6" s="1"/>
  <c r="R105" i="19" s="1"/>
  <c r="AL86" i="6" a="1"/>
  <c r="AL86" i="6" s="1"/>
  <c r="R86" i="19" s="1"/>
  <c r="AL152" i="6" a="1"/>
  <c r="AL152" i="6" s="1"/>
  <c r="R152" i="19" s="1"/>
  <c r="AL107" i="6" a="1"/>
  <c r="AL107" i="6" s="1"/>
  <c r="AL119" i="6" a="1"/>
  <c r="AL119" i="6" s="1"/>
  <c r="R119" i="19" s="1"/>
  <c r="AL155" i="6" a="1"/>
  <c r="AL155" i="6" s="1"/>
  <c r="R155" i="19" s="1"/>
  <c r="AL36" i="6" a="1"/>
  <c r="AL36" i="6" s="1"/>
  <c r="AL68" i="6" a="1"/>
  <c r="AL68" i="6" s="1"/>
  <c r="AL75" i="6" a="1"/>
  <c r="AL75" i="6" s="1"/>
  <c r="AL55" i="6" a="1"/>
  <c r="AL55" i="6" s="1"/>
  <c r="AL76" i="6" a="1"/>
  <c r="AL76" i="6" s="1"/>
  <c r="R76" i="19" s="1"/>
  <c r="AL156" i="6" a="1"/>
  <c r="AL156" i="6" s="1"/>
  <c r="R156" i="19" s="1"/>
  <c r="AL67" i="6" a="1"/>
  <c r="AL67" i="6" s="1"/>
  <c r="R67" i="19" s="1"/>
  <c r="AL146" i="6" a="1"/>
  <c r="AL146" i="6" s="1"/>
  <c r="R146" i="19" s="1"/>
  <c r="AL94" i="6" a="1"/>
  <c r="AL94" i="6" s="1"/>
  <c r="R94" i="19" s="1"/>
  <c r="AL38" i="6" a="1"/>
  <c r="AL38" i="6" s="1"/>
  <c r="AL128" i="6" a="1"/>
  <c r="AL128" i="6" s="1"/>
  <c r="R128" i="19" s="1"/>
  <c r="AL46" i="6" a="1"/>
  <c r="AL46" i="6" s="1"/>
  <c r="AL31" i="6" a="1"/>
  <c r="AL31" i="6" s="1"/>
  <c r="AL134" i="6" a="1"/>
  <c r="AL134" i="6" s="1"/>
  <c r="R134" i="19" s="1"/>
  <c r="AL153" i="6" a="1"/>
  <c r="AL153" i="6" s="1"/>
  <c r="R153" i="19" s="1"/>
  <c r="AL154" i="6" a="1"/>
  <c r="AL154" i="6" s="1"/>
  <c r="R154" i="19" s="1"/>
  <c r="AL106" i="6" a="1"/>
  <c r="AL106" i="6" s="1"/>
  <c r="R106" i="19" s="1"/>
  <c r="AL47" i="6" a="1"/>
  <c r="AL47" i="6" s="1"/>
  <c r="AL59" i="6" a="1"/>
  <c r="AL59" i="6" s="1"/>
  <c r="AL109" i="6" a="1"/>
  <c r="AL109" i="6" s="1"/>
  <c r="R109" i="19" s="1"/>
  <c r="AL53" i="6" a="1"/>
  <c r="AL53" i="6" s="1"/>
  <c r="AL54" i="6" a="1"/>
  <c r="AL54" i="6" s="1"/>
  <c r="AL89" i="6" a="1"/>
  <c r="AL89" i="6" s="1"/>
  <c r="R89" i="19" s="1"/>
  <c r="AL116" i="6" a="1"/>
  <c r="AL116" i="6" s="1"/>
  <c r="R116" i="19" s="1"/>
  <c r="AL80" i="6" a="1"/>
  <c r="AL80" i="6" s="1"/>
  <c r="R80" i="19" s="1"/>
  <c r="AL74" i="6" a="1"/>
  <c r="AL74" i="6" s="1"/>
  <c r="R74" i="19" s="1"/>
  <c r="AL157" i="6" a="1"/>
  <c r="AL157" i="6" s="1"/>
  <c r="R157" i="19" s="1"/>
  <c r="AL132" i="6" a="1"/>
  <c r="AL132" i="6" s="1"/>
  <c r="AL104" i="6" a="1"/>
  <c r="AL104" i="6" s="1"/>
  <c r="R104" i="19" s="1"/>
  <c r="AL64" i="6" a="1"/>
  <c r="AL64" i="6" s="1"/>
  <c r="R64" i="19" s="1"/>
  <c r="AL99" i="6" a="1"/>
  <c r="AL99" i="6" s="1"/>
  <c r="R99" i="19" s="1"/>
  <c r="AL100" i="6" a="1"/>
  <c r="AL100" i="6" s="1"/>
  <c r="R100" i="19" s="1"/>
  <c r="AL88" i="6" a="1"/>
  <c r="AL88" i="6" s="1"/>
  <c r="R88" i="19" s="1"/>
  <c r="AL44" i="6" a="1"/>
  <c r="AL44" i="6" s="1"/>
  <c r="AL108" i="6" a="1"/>
  <c r="AL108" i="6" s="1"/>
  <c r="R108" i="19" s="1"/>
  <c r="AL131" i="6" a="1"/>
  <c r="AL131" i="6" s="1"/>
  <c r="R131" i="19" s="1"/>
  <c r="AL125" i="6" a="1"/>
  <c r="AL125" i="6" s="1"/>
  <c r="R125" i="19" s="1"/>
  <c r="AL149" i="6" a="1"/>
  <c r="AL149" i="6" s="1"/>
  <c r="R149" i="19" s="1"/>
  <c r="AL92" i="6" a="1"/>
  <c r="AL92" i="6" s="1"/>
  <c r="R92" i="19" s="1"/>
  <c r="AL147" i="6" a="1"/>
  <c r="AL147" i="6" s="1"/>
  <c r="R147" i="19" s="1"/>
  <c r="AL140" i="6" a="1"/>
  <c r="AL140" i="6" s="1"/>
  <c r="R140" i="19" s="1"/>
  <c r="AL141" i="6" a="1"/>
  <c r="AL141" i="6" s="1"/>
  <c r="R141" i="19" s="1"/>
  <c r="AL82" i="6" a="1"/>
  <c r="AL82" i="6" s="1"/>
  <c r="R82" i="19" s="1"/>
  <c r="AL114" i="6" a="1"/>
  <c r="AL114" i="6" s="1"/>
  <c r="AL37" i="6" a="1"/>
  <c r="AL37" i="6" s="1"/>
  <c r="AL112" i="6" a="1"/>
  <c r="AL112" i="6" s="1"/>
  <c r="R112" i="19" s="1"/>
  <c r="AL124" i="6" a="1"/>
  <c r="AL124" i="6" s="1"/>
  <c r="R124" i="19" s="1"/>
  <c r="AL145" i="6" a="1"/>
  <c r="AL145" i="6" s="1"/>
  <c r="R145" i="19" s="1"/>
  <c r="AL103" i="6" a="1"/>
  <c r="AL103" i="6" s="1"/>
  <c r="R103" i="19" s="1"/>
  <c r="AL135" i="6" a="1"/>
  <c r="AL135" i="6" s="1"/>
  <c r="R135" i="19" s="1"/>
  <c r="AL81" i="6" a="1"/>
  <c r="AL81" i="6" s="1"/>
  <c r="R81" i="19" s="1"/>
  <c r="AL63" i="6" a="1"/>
  <c r="AL63" i="6" s="1"/>
  <c r="AL43" i="6" a="1"/>
  <c r="AL43" i="6" s="1"/>
  <c r="R43" i="19" s="1"/>
  <c r="AL50" i="6" a="1"/>
  <c r="AL50" i="6" s="1"/>
  <c r="R50" i="19" s="1"/>
  <c r="AK120" i="6" a="1"/>
  <c r="AK120" i="6" s="1"/>
  <c r="Q120" i="19" s="1"/>
  <c r="AK56" i="6" a="1"/>
  <c r="AK56" i="6" s="1"/>
  <c r="Q56" i="19" s="1"/>
  <c r="AK118" i="6" a="1"/>
  <c r="AK118" i="6" s="1"/>
  <c r="Q118" i="19" s="1"/>
  <c r="AK73" i="6" a="1"/>
  <c r="AK73" i="6" s="1"/>
  <c r="Q73" i="19" s="1"/>
  <c r="AK148" i="6" a="1"/>
  <c r="AK148" i="6" s="1"/>
  <c r="Q148" i="19" s="1"/>
  <c r="AK138" i="6" a="1"/>
  <c r="AK138" i="6" s="1"/>
  <c r="Q138" i="19" s="1"/>
  <c r="AK78" i="6" a="1"/>
  <c r="AK78" i="6" s="1"/>
  <c r="Q78" i="19" s="1"/>
  <c r="AK58" i="6" a="1"/>
  <c r="AK58" i="6" s="1"/>
  <c r="Q58" i="19" s="1"/>
  <c r="AK143" i="6" a="1"/>
  <c r="AK143" i="6" s="1"/>
  <c r="Q143" i="19" s="1"/>
  <c r="AK42" i="6" a="1"/>
  <c r="AK42" i="6" s="1"/>
  <c r="Q42" i="19" s="1"/>
  <c r="AK69" i="6" a="1"/>
  <c r="AK69" i="6" s="1"/>
  <c r="Q69" i="19" s="1"/>
  <c r="AK116" i="6" a="1"/>
  <c r="AK116" i="6" s="1"/>
  <c r="Q116" i="19" s="1"/>
  <c r="AK93" i="6" a="1"/>
  <c r="AK93" i="6" s="1"/>
  <c r="Q93" i="19" s="1"/>
  <c r="AK84" i="6" a="1"/>
  <c r="AK84" i="6" s="1"/>
  <c r="Q84" i="19" s="1"/>
  <c r="AK91" i="6" a="1"/>
  <c r="AK91" i="6" s="1"/>
  <c r="Q91" i="19" s="1"/>
  <c r="AK154" i="6" a="1"/>
  <c r="AK154" i="6" s="1"/>
  <c r="Q154" i="19" s="1"/>
  <c r="AK115" i="6" a="1"/>
  <c r="AK115" i="6" s="1"/>
  <c r="Q115" i="19" s="1"/>
  <c r="AK71" i="6" a="1"/>
  <c r="AK71" i="6" s="1"/>
  <c r="Q71" i="19" s="1"/>
  <c r="AK113" i="6" a="1"/>
  <c r="AK113" i="6" s="1"/>
  <c r="Q113" i="19" s="1"/>
  <c r="AK111" i="6" a="1"/>
  <c r="AK111" i="6" s="1"/>
  <c r="Q111" i="19" s="1"/>
  <c r="AK49" i="6" a="1"/>
  <c r="AK49" i="6" s="1"/>
  <c r="Q49" i="19" s="1"/>
  <c r="AK110" i="6" a="1"/>
  <c r="AK110" i="6" s="1"/>
  <c r="Q110" i="19" s="1"/>
  <c r="AK94" i="6" a="1"/>
  <c r="AK94" i="6" s="1"/>
  <c r="Q94" i="19" s="1"/>
  <c r="AK99" i="6" a="1"/>
  <c r="AK99" i="6" s="1"/>
  <c r="Q99" i="19" s="1"/>
  <c r="AK45" i="6" a="1"/>
  <c r="AK45" i="6" s="1"/>
  <c r="Q45" i="19" s="1"/>
  <c r="AK142" i="6" a="1"/>
  <c r="AK142" i="6" s="1"/>
  <c r="Q142" i="19" s="1"/>
  <c r="AK151" i="6" a="1"/>
  <c r="AK151" i="6" s="1"/>
  <c r="Q151" i="19" s="1"/>
  <c r="AK102" i="6" a="1"/>
  <c r="AK102" i="6" s="1"/>
  <c r="Q102" i="19" s="1"/>
  <c r="AK60" i="6" a="1"/>
  <c r="AK60" i="6" s="1"/>
  <c r="Q60" i="19" s="1"/>
  <c r="AK136" i="6" a="1"/>
  <c r="AK136" i="6" s="1"/>
  <c r="Q136" i="19" s="1"/>
  <c r="AK129" i="6" a="1"/>
  <c r="AK129" i="6" s="1"/>
  <c r="Q129" i="19" s="1"/>
  <c r="AK35" i="6" a="1"/>
  <c r="AK35" i="6" s="1"/>
  <c r="Q35" i="19" s="1"/>
  <c r="AK63" i="6" a="1"/>
  <c r="AK63" i="6" s="1"/>
  <c r="Q63" i="19" s="1"/>
  <c r="AK61" i="6" a="1"/>
  <c r="AK61" i="6" s="1"/>
  <c r="Q61" i="19" s="1"/>
  <c r="AK95" i="6" a="1"/>
  <c r="AK95" i="6" s="1"/>
  <c r="Q95" i="19" s="1"/>
  <c r="AK48" i="6" a="1"/>
  <c r="AK48" i="6" s="1"/>
  <c r="Q48" i="19" s="1"/>
  <c r="AK52" i="6" a="1"/>
  <c r="AK52" i="6" s="1"/>
  <c r="Q52" i="19" s="1"/>
  <c r="AK57" i="6" a="1"/>
  <c r="AK57" i="6" s="1"/>
  <c r="Q57" i="19" s="1"/>
  <c r="AK85" i="6" a="1"/>
  <c r="AK85" i="6" s="1"/>
  <c r="Q85" i="19" s="1"/>
  <c r="AK121" i="6" a="1"/>
  <c r="AK121" i="6" s="1"/>
  <c r="Q121" i="19" s="1"/>
  <c r="AK62" i="6" a="1"/>
  <c r="AK62" i="6" s="1"/>
  <c r="Q62" i="19" s="1"/>
  <c r="AK51" i="6" a="1"/>
  <c r="AK51" i="6" s="1"/>
  <c r="Q51" i="19" s="1"/>
  <c r="AK65" i="6" a="1"/>
  <c r="AK65" i="6" s="1"/>
  <c r="Q65" i="19" s="1"/>
  <c r="AK98" i="6" a="1"/>
  <c r="AK98" i="6" s="1"/>
  <c r="Q98" i="19" s="1"/>
  <c r="AK122" i="6" a="1"/>
  <c r="AK122" i="6" s="1"/>
  <c r="Q122" i="19" s="1"/>
  <c r="AK90" i="6" a="1"/>
  <c r="AK90" i="6" s="1"/>
  <c r="Q90" i="19" s="1"/>
  <c r="AK144" i="6" a="1"/>
  <c r="AK144" i="6" s="1"/>
  <c r="Q144" i="19" s="1"/>
  <c r="AK40" i="6" a="1"/>
  <c r="AK40" i="6" s="1"/>
  <c r="Q40" i="19" s="1"/>
  <c r="AK43" i="6" a="1"/>
  <c r="AK43" i="6" s="1"/>
  <c r="Q43" i="19" s="1"/>
  <c r="AK83" i="6" a="1"/>
  <c r="AK83" i="6" s="1"/>
  <c r="Q83" i="19" s="1"/>
  <c r="AK130" i="6" a="1"/>
  <c r="AK130" i="6" s="1"/>
  <c r="Q130" i="19" s="1"/>
  <c r="AK31" i="6" a="1"/>
  <c r="AK31" i="6" s="1"/>
  <c r="Q31" i="19" s="1"/>
  <c r="AK97" i="6" a="1"/>
  <c r="AK97" i="6" s="1"/>
  <c r="Q97" i="19" s="1"/>
  <c r="AK70" i="6" a="1"/>
  <c r="AK70" i="6" s="1"/>
  <c r="Q70" i="19" s="1"/>
  <c r="AK106" i="6" a="1"/>
  <c r="AK106" i="6" s="1"/>
  <c r="Q106" i="19" s="1"/>
  <c r="AK155" i="6" a="1"/>
  <c r="AK155" i="6" s="1"/>
  <c r="Q155" i="19" s="1"/>
  <c r="AK36" i="6" a="1"/>
  <c r="AK36" i="6" s="1"/>
  <c r="Q36" i="19" s="1"/>
  <c r="AK75" i="6" a="1"/>
  <c r="AK75" i="6" s="1"/>
  <c r="Q75" i="19" s="1"/>
  <c r="AK117" i="6" a="1"/>
  <c r="AK117" i="6" s="1"/>
  <c r="Q117" i="19" s="1"/>
  <c r="AK72" i="6" a="1"/>
  <c r="AK72" i="6" s="1"/>
  <c r="Q72" i="19" s="1"/>
  <c r="AK126" i="6" a="1"/>
  <c r="AK126" i="6" s="1"/>
  <c r="Q126" i="19" s="1"/>
  <c r="AK67" i="6" a="1"/>
  <c r="AK67" i="6" s="1"/>
  <c r="Q67" i="19" s="1"/>
  <c r="AK81" i="6" a="1"/>
  <c r="AK81" i="6" s="1"/>
  <c r="Q81" i="19" s="1"/>
  <c r="AK146" i="6" a="1"/>
  <c r="AK146" i="6" s="1"/>
  <c r="Q146" i="19" s="1"/>
  <c r="AK103" i="6" a="1"/>
  <c r="AK103" i="6" s="1"/>
  <c r="Q103" i="19" s="1"/>
  <c r="AK131" i="6" a="1"/>
  <c r="AK131" i="6" s="1"/>
  <c r="Q131" i="19" s="1"/>
  <c r="AK125" i="6" a="1"/>
  <c r="AK125" i="6" s="1"/>
  <c r="Q125" i="19" s="1"/>
  <c r="AK92" i="6" a="1"/>
  <c r="AK92" i="6" s="1"/>
  <c r="Q92" i="19" s="1"/>
  <c r="AK147" i="6" a="1"/>
  <c r="AK147" i="6" s="1"/>
  <c r="Q147" i="19" s="1"/>
  <c r="AK141" i="6" a="1"/>
  <c r="AK141" i="6" s="1"/>
  <c r="Q141" i="19" s="1"/>
  <c r="AK153" i="6" a="1"/>
  <c r="AK153" i="6" s="1"/>
  <c r="Q153" i="19" s="1"/>
  <c r="AK96" i="6" a="1"/>
  <c r="AK96" i="6" s="1"/>
  <c r="Q96" i="19" s="1"/>
  <c r="AK47" i="6" a="1"/>
  <c r="AK47" i="6" s="1"/>
  <c r="Q47" i="19" s="1"/>
  <c r="AK59" i="6" a="1"/>
  <c r="AK59" i="6" s="1"/>
  <c r="Q59" i="19" s="1"/>
  <c r="AK109" i="6" a="1"/>
  <c r="AK109" i="6" s="1"/>
  <c r="Q109" i="19" s="1"/>
  <c r="AK53" i="6" a="1"/>
  <c r="AK53" i="6" s="1"/>
  <c r="Q53" i="19" s="1"/>
  <c r="AK54" i="6" a="1"/>
  <c r="AK54" i="6" s="1"/>
  <c r="Q54" i="19" s="1"/>
  <c r="AK145" i="6" a="1"/>
  <c r="AK145" i="6" s="1"/>
  <c r="Q145" i="19" s="1"/>
  <c r="AK89" i="6" a="1"/>
  <c r="AK89" i="6" s="1"/>
  <c r="Q89" i="19" s="1"/>
  <c r="AK135" i="6" a="1"/>
  <c r="AK135" i="6" s="1"/>
  <c r="Q135" i="19" s="1"/>
  <c r="AK80" i="6" a="1"/>
  <c r="AK80" i="6" s="1"/>
  <c r="Q80" i="19" s="1"/>
  <c r="AK157" i="6" a="1"/>
  <c r="AK157" i="6" s="1"/>
  <c r="Q157" i="19" s="1"/>
  <c r="AK132" i="6" a="1"/>
  <c r="AK132" i="6" s="1"/>
  <c r="Q132" i="19" s="1"/>
  <c r="AK104" i="6" a="1"/>
  <c r="AK104" i="6" s="1"/>
  <c r="Q104" i="19" s="1"/>
  <c r="AK44" i="6" a="1"/>
  <c r="AK44" i="6" s="1"/>
  <c r="Q44" i="19" s="1"/>
  <c r="AK108" i="6" a="1"/>
  <c r="AK108" i="6" s="1"/>
  <c r="Q108" i="19" s="1"/>
  <c r="AK149" i="6" a="1"/>
  <c r="AK149" i="6" s="1"/>
  <c r="Q149" i="19" s="1"/>
  <c r="AK140" i="6" a="1"/>
  <c r="AK140" i="6" s="1"/>
  <c r="Q140" i="19" s="1"/>
  <c r="AK82" i="6" a="1"/>
  <c r="AK82" i="6" s="1"/>
  <c r="Q82" i="19" s="1"/>
  <c r="AK114" i="6" a="1"/>
  <c r="AK114" i="6" s="1"/>
  <c r="Q114" i="19" s="1"/>
  <c r="AK37" i="6" a="1"/>
  <c r="AK37" i="6" s="1"/>
  <c r="Q37" i="19" s="1"/>
  <c r="AK150" i="6" a="1"/>
  <c r="AK150" i="6" s="1"/>
  <c r="Q150" i="19" s="1"/>
  <c r="AK112" i="6" a="1"/>
  <c r="AK112" i="6" s="1"/>
  <c r="Q112" i="19" s="1"/>
  <c r="AK124" i="6" a="1"/>
  <c r="AK124" i="6" s="1"/>
  <c r="Q124" i="19" s="1"/>
  <c r="AK101" i="6" a="1"/>
  <c r="AK101" i="6" s="1"/>
  <c r="Q101" i="19" s="1"/>
  <c r="AK87" i="6" a="1"/>
  <c r="AK87" i="6" s="1"/>
  <c r="Q87" i="19" s="1"/>
  <c r="AK139" i="6" a="1"/>
  <c r="AK139" i="6" s="1"/>
  <c r="Q139" i="19" s="1"/>
  <c r="AK137" i="6" a="1"/>
  <c r="AK137" i="6" s="1"/>
  <c r="Q137" i="19" s="1"/>
  <c r="AK34" i="6" a="1"/>
  <c r="AK34" i="6" s="1"/>
  <c r="Q34" i="19" s="1"/>
  <c r="AK55" i="6" a="1"/>
  <c r="AK55" i="6" s="1"/>
  <c r="Q55" i="19" s="1"/>
  <c r="AK105" i="6" a="1"/>
  <c r="AK105" i="6" s="1"/>
  <c r="Q105" i="19" s="1"/>
  <c r="AK32" i="6" a="1"/>
  <c r="AK32" i="6" s="1"/>
  <c r="Q32" i="19" s="1"/>
  <c r="AK64" i="6" a="1"/>
  <c r="AK64" i="6" s="1"/>
  <c r="Q64" i="19" s="1"/>
  <c r="AK41" i="6" a="1"/>
  <c r="AK41" i="6" s="1"/>
  <c r="Q41" i="19" s="1"/>
  <c r="AK86" i="6" a="1"/>
  <c r="AK86" i="6" s="1"/>
  <c r="Q86" i="19" s="1"/>
  <c r="AK152" i="6" a="1"/>
  <c r="AK152" i="6" s="1"/>
  <c r="Q152" i="19" s="1"/>
  <c r="AK107" i="6" a="1"/>
  <c r="AK107" i="6" s="1"/>
  <c r="Q107" i="19" s="1"/>
  <c r="AK134" i="6" a="1"/>
  <c r="AK134" i="6" s="1"/>
  <c r="Q134" i="19" s="1"/>
  <c r="AK119" i="6" a="1"/>
  <c r="AK119" i="6" s="1"/>
  <c r="Q119" i="19" s="1"/>
  <c r="AK38" i="6" a="1"/>
  <c r="AK38" i="6" s="1"/>
  <c r="Q38" i="19" s="1"/>
  <c r="AK79" i="6" a="1"/>
  <c r="AK79" i="6" s="1"/>
  <c r="Q79" i="19" s="1"/>
  <c r="AK127" i="6" a="1"/>
  <c r="AK127" i="6" s="1"/>
  <c r="Q127" i="19" s="1"/>
  <c r="AK100" i="6" a="1"/>
  <c r="AK100" i="6" s="1"/>
  <c r="Q100" i="19" s="1"/>
  <c r="AK39" i="6" a="1"/>
  <c r="AK39" i="6" s="1"/>
  <c r="Q39" i="19" s="1"/>
  <c r="AK68" i="6" a="1"/>
  <c r="AK68" i="6" s="1"/>
  <c r="Q68" i="19" s="1"/>
  <c r="AK128" i="6" a="1"/>
  <c r="AK128" i="6" s="1"/>
  <c r="Q128" i="19" s="1"/>
  <c r="AK46" i="6" a="1"/>
  <c r="AK46" i="6" s="1"/>
  <c r="Q46" i="19" s="1"/>
  <c r="AK76" i="6" a="1"/>
  <c r="AK76" i="6" s="1"/>
  <c r="Q76" i="19" s="1"/>
  <c r="AK66" i="6" a="1"/>
  <c r="AK66" i="6" s="1"/>
  <c r="Q66" i="19" s="1"/>
  <c r="AK156" i="6" a="1"/>
  <c r="AK156" i="6" s="1"/>
  <c r="Q156" i="19" s="1"/>
  <c r="AK123" i="6" a="1"/>
  <c r="AK123" i="6" s="1"/>
  <c r="Q123" i="19" s="1"/>
  <c r="AK50" i="6" a="1"/>
  <c r="AK50" i="6" s="1"/>
  <c r="Q50" i="19" s="1"/>
  <c r="AK74" i="6" a="1"/>
  <c r="AK74" i="6" s="1"/>
  <c r="Q74" i="19" s="1"/>
  <c r="AK77" i="6" a="1"/>
  <c r="AK77" i="6" s="1"/>
  <c r="Q77" i="19" s="1"/>
  <c r="AK33" i="6" a="1"/>
  <c r="AK33" i="6" s="1"/>
  <c r="Q33" i="19" s="1"/>
  <c r="AK88" i="6" a="1"/>
  <c r="AK88" i="6" s="1"/>
  <c r="Q88" i="19" s="1"/>
  <c r="AK133" i="6" a="1"/>
  <c r="AK133" i="6" s="1"/>
  <c r="Q133" i="19" s="1"/>
  <c r="Q37" i="1"/>
  <c r="R8" i="21" s="1"/>
  <c r="S31" i="4"/>
  <c r="S30" i="4"/>
  <c r="S29" i="4"/>
  <c r="S28" i="4"/>
  <c r="ER47" i="13"/>
  <c r="GV129" i="13"/>
  <c r="GN111" i="13"/>
  <c r="GN52" i="13"/>
  <c r="GF111" i="13"/>
  <c r="GV134" i="13"/>
  <c r="FX129" i="13"/>
  <c r="FX112" i="13"/>
  <c r="EJ50" i="13"/>
  <c r="FP48" i="13"/>
  <c r="GN135" i="13"/>
  <c r="FP135" i="13"/>
  <c r="EB136" i="13"/>
  <c r="FP137" i="13"/>
  <c r="FX52" i="13"/>
  <c r="GN50" i="13"/>
  <c r="GN89" i="13"/>
  <c r="EB37" i="13"/>
  <c r="ER136" i="13"/>
  <c r="FX36" i="13"/>
  <c r="ER134" i="13"/>
  <c r="GV111" i="13"/>
  <c r="FH135" i="13"/>
  <c r="EZ137" i="13"/>
  <c r="GV50" i="13"/>
  <c r="EJ36" i="13"/>
  <c r="GF51" i="13"/>
  <c r="GF89" i="13"/>
  <c r="EB47" i="13"/>
  <c r="GF48" i="13"/>
  <c r="FH89" i="13"/>
  <c r="GF37" i="13"/>
  <c r="FP37" i="13"/>
  <c r="FP128" i="13"/>
  <c r="FP19" i="13"/>
  <c r="EZ135" i="13"/>
  <c r="FP36" i="13"/>
  <c r="GF112" i="13"/>
  <c r="GF128" i="13"/>
  <c r="GN37" i="13"/>
  <c r="FX88" i="13"/>
  <c r="GV112" i="13"/>
  <c r="FH128" i="13"/>
  <c r="EZ51" i="13"/>
  <c r="EJ134" i="13"/>
  <c r="FP111" i="13"/>
  <c r="FH37" i="13"/>
  <c r="GF88" i="13"/>
  <c r="EB48" i="13"/>
  <c r="FP88" i="13"/>
  <c r="EJ37" i="13"/>
  <c r="EJ52" i="13"/>
  <c r="ER50" i="13"/>
  <c r="FX19" i="13"/>
  <c r="FX48" i="13"/>
  <c r="ER51" i="13"/>
  <c r="EZ50" i="13"/>
  <c r="EJ129" i="13"/>
  <c r="GV27" i="13"/>
  <c r="FP27" i="13"/>
  <c r="GV36" i="13"/>
  <c r="GN134" i="13"/>
  <c r="FH88" i="13"/>
  <c r="GF19" i="13"/>
  <c r="FH36" i="13"/>
  <c r="GF137" i="13"/>
  <c r="GV52" i="13"/>
  <c r="EB134" i="13"/>
  <c r="EZ89" i="13"/>
  <c r="EZ111" i="13"/>
  <c r="GV135" i="13"/>
  <c r="FP52" i="13"/>
  <c r="EB129" i="13"/>
  <c r="FX47" i="13"/>
  <c r="ER52" i="13"/>
  <c r="ER129" i="13"/>
  <c r="GF136" i="13"/>
  <c r="GF134" i="13"/>
  <c r="FH50" i="13"/>
  <c r="EJ88" i="13"/>
  <c r="EJ51" i="13"/>
  <c r="EZ36" i="13"/>
  <c r="FH47" i="13"/>
  <c r="GV48" i="13"/>
  <c r="GV128" i="13"/>
  <c r="FX134" i="13"/>
  <c r="GF52" i="13"/>
  <c r="ER135" i="13"/>
  <c r="GV37" i="13"/>
  <c r="GV137" i="13"/>
  <c r="ER36" i="13"/>
  <c r="ER27" i="13"/>
  <c r="GN27" i="13"/>
  <c r="EB27" i="13"/>
  <c r="FX128" i="13"/>
  <c r="FX50" i="13"/>
  <c r="GV51" i="13"/>
  <c r="GF129" i="13"/>
  <c r="EB135" i="13"/>
  <c r="ER128" i="13"/>
  <c r="ER112" i="13"/>
  <c r="EJ47" i="13"/>
  <c r="EJ112" i="13"/>
  <c r="EB50" i="13"/>
  <c r="GN129" i="13"/>
  <c r="EZ52" i="13"/>
  <c r="EJ137" i="13"/>
  <c r="EJ128" i="13"/>
  <c r="EB111" i="13"/>
  <c r="GV89" i="13"/>
  <c r="GN19" i="13"/>
  <c r="FX51" i="13"/>
  <c r="EZ48" i="13"/>
  <c r="FH136" i="13"/>
  <c r="GF36" i="13"/>
  <c r="FP134" i="13"/>
  <c r="FP89" i="13"/>
  <c r="EB88" i="13"/>
  <c r="ER137" i="13"/>
  <c r="EJ27" i="13"/>
  <c r="GN128" i="13"/>
  <c r="FP129" i="13"/>
  <c r="FX137" i="13"/>
  <c r="ER48" i="13"/>
  <c r="GN48" i="13"/>
  <c r="EB52" i="13"/>
  <c r="EJ48" i="13"/>
  <c r="FH129" i="13"/>
  <c r="EZ129" i="13"/>
  <c r="EZ27" i="13"/>
  <c r="FP47" i="13"/>
  <c r="FH48" i="13"/>
  <c r="EB51" i="13"/>
  <c r="EB89" i="13"/>
  <c r="EZ88" i="13"/>
  <c r="FX89" i="13"/>
  <c r="FH51" i="13"/>
  <c r="GN36" i="13"/>
  <c r="FH137" i="13"/>
  <c r="GN51" i="13"/>
  <c r="ER88" i="13"/>
  <c r="FX37" i="13"/>
  <c r="FX136" i="13"/>
  <c r="FX27" i="13"/>
  <c r="GV47" i="13"/>
  <c r="EJ136" i="13"/>
  <c r="EB112" i="13"/>
  <c r="EB128" i="13"/>
  <c r="GV19" i="13"/>
  <c r="GF135" i="13"/>
  <c r="FH52" i="13"/>
  <c r="GV136" i="13"/>
  <c r="EZ19" i="13"/>
  <c r="FH112" i="13"/>
  <c r="FH134" i="13"/>
  <c r="EZ112" i="13"/>
  <c r="FP50" i="13"/>
  <c r="GF47" i="13"/>
  <c r="FH27" i="13"/>
  <c r="EJ89" i="13"/>
  <c r="FP51" i="13"/>
  <c r="FH19" i="13"/>
  <c r="EZ128" i="13"/>
  <c r="EB36" i="13"/>
  <c r="FP136" i="13"/>
  <c r="EJ111" i="13"/>
  <c r="EZ47" i="13"/>
  <c r="ER19" i="13"/>
  <c r="EZ37" i="13"/>
  <c r="FH111" i="13"/>
  <c r="GF50" i="13"/>
  <c r="ER37" i="13"/>
  <c r="EJ135" i="13"/>
  <c r="EB19" i="13"/>
  <c r="FX135" i="13"/>
  <c r="EJ19" i="13"/>
  <c r="FX111" i="13"/>
  <c r="GN112" i="13"/>
  <c r="GN47" i="13"/>
  <c r="GN137" i="13"/>
  <c r="GN88" i="13"/>
  <c r="ER89" i="13"/>
  <c r="EB137" i="13"/>
  <c r="EZ136" i="13"/>
  <c r="GF27" i="13"/>
  <c r="GN136" i="13"/>
  <c r="ER111" i="13"/>
  <c r="GV88" i="13"/>
  <c r="EZ134" i="13"/>
  <c r="FP112" i="13"/>
  <c r="FH12" i="13" l="1"/>
  <c r="FH11" i="13" s="1"/>
  <c r="EJ12" i="13"/>
  <c r="EJ11" i="13" s="1"/>
  <c r="GN12" i="13"/>
  <c r="GN11" i="13" s="1"/>
  <c r="EZ12" i="13"/>
  <c r="EZ11" i="13" s="1"/>
  <c r="EB12" i="13"/>
  <c r="GV12" i="13"/>
  <c r="GV11" i="13" s="1"/>
  <c r="GF12" i="13"/>
  <c r="GF11" i="13" s="1"/>
  <c r="ER12" i="13"/>
  <c r="ER11" i="13" s="1"/>
  <c r="FX12" i="13"/>
  <c r="FX11" i="13" s="1"/>
  <c r="FP12" i="13"/>
  <c r="FP11" i="13" s="1"/>
  <c r="HJ36" i="13"/>
  <c r="HJ89" i="13"/>
  <c r="HH89" i="13"/>
  <c r="HI112" i="13"/>
  <c r="HI88" i="13"/>
  <c r="HH112" i="13"/>
  <c r="HH19" i="13"/>
  <c r="HI52" i="13"/>
  <c r="HJ88" i="13"/>
  <c r="HH50" i="13"/>
  <c r="HG52" i="13"/>
  <c r="HG89" i="13"/>
  <c r="HH88" i="13"/>
  <c r="HK112" i="13"/>
  <c r="HI111" i="13"/>
  <c r="HK37" i="13"/>
  <c r="HG19" i="13"/>
  <c r="HK52" i="13"/>
  <c r="HM47" i="13"/>
  <c r="HN48" i="13"/>
  <c r="HK36" i="13"/>
  <c r="HP37" i="13"/>
  <c r="HJ19" i="13"/>
  <c r="HN112" i="13"/>
  <c r="HJ51" i="13"/>
  <c r="HN89" i="13"/>
  <c r="HL50" i="13"/>
  <c r="HP48" i="13"/>
  <c r="HM50" i="13"/>
  <c r="HM111" i="13"/>
  <c r="HN52" i="13"/>
  <c r="HM51" i="13"/>
  <c r="HL48" i="13"/>
  <c r="HN111" i="13"/>
  <c r="HL112" i="13"/>
  <c r="HH51" i="13"/>
  <c r="HP36" i="13"/>
  <c r="HM19" i="13"/>
  <c r="HP47" i="13"/>
  <c r="HP89" i="13"/>
  <c r="HO112" i="13"/>
  <c r="HP112" i="13"/>
  <c r="HN88" i="13"/>
  <c r="HK51" i="13"/>
  <c r="HL47" i="13"/>
  <c r="HN51" i="13"/>
  <c r="HN37" i="13"/>
  <c r="HO36" i="13"/>
  <c r="HP19" i="13"/>
  <c r="HP52" i="13"/>
  <c r="HN36" i="13"/>
  <c r="HM36" i="13"/>
  <c r="HI19" i="13"/>
  <c r="HM48" i="13"/>
  <c r="HJ50" i="13"/>
  <c r="HK89" i="13"/>
  <c r="HJ47" i="13"/>
  <c r="HI48" i="13"/>
  <c r="HM88" i="13"/>
  <c r="HN50" i="13"/>
  <c r="HM112" i="13"/>
  <c r="HL51" i="13"/>
  <c r="HL111" i="13"/>
  <c r="HL52" i="13"/>
  <c r="HN19" i="13"/>
  <c r="HJ48" i="13"/>
  <c r="HM89" i="13"/>
  <c r="HJ52" i="13"/>
  <c r="HK50" i="13"/>
  <c r="HI51" i="13"/>
  <c r="HO89" i="13"/>
  <c r="HN47" i="13"/>
  <c r="HK47" i="13"/>
  <c r="HP111" i="13"/>
  <c r="HP88" i="13"/>
  <c r="HO19" i="13"/>
  <c r="HO37" i="13"/>
  <c r="HK48" i="13"/>
  <c r="HH47" i="13"/>
  <c r="HK19" i="13"/>
  <c r="HO47" i="13"/>
  <c r="HI47" i="13"/>
  <c r="HM52" i="13"/>
  <c r="HO52" i="13"/>
  <c r="HO48" i="13"/>
  <c r="HO88" i="13"/>
  <c r="HO51" i="13"/>
  <c r="HP51" i="13"/>
  <c r="HO111" i="13"/>
  <c r="HL19" i="13"/>
  <c r="HH48" i="13"/>
  <c r="HL36" i="13"/>
  <c r="HL89" i="13"/>
  <c r="HP50" i="13"/>
  <c r="HO50" i="13"/>
  <c r="HM37" i="13"/>
  <c r="HG37" i="13"/>
  <c r="HG112" i="13"/>
  <c r="HH36" i="13"/>
  <c r="HJ37" i="13"/>
  <c r="HG111" i="13"/>
  <c r="HG88" i="13"/>
  <c r="HJ112" i="13"/>
  <c r="HI89" i="13"/>
  <c r="HG50" i="13"/>
  <c r="HH111" i="13"/>
  <c r="HH37" i="13"/>
  <c r="HK88" i="13"/>
  <c r="HL37" i="13"/>
  <c r="HG51" i="13"/>
  <c r="HG47" i="13"/>
  <c r="HJ111" i="13"/>
  <c r="HK111" i="13"/>
  <c r="HH52" i="13"/>
  <c r="HG48" i="13"/>
  <c r="HG36" i="13"/>
  <c r="HI50" i="13"/>
  <c r="HI36" i="13"/>
  <c r="HL88" i="13"/>
  <c r="HI37" i="13"/>
  <c r="R36" i="19"/>
  <c r="R40" i="19"/>
  <c r="R52" i="19"/>
  <c r="R66" i="19"/>
  <c r="R58" i="19"/>
  <c r="R32" i="19"/>
  <c r="R60" i="19"/>
  <c r="R39" i="19"/>
  <c r="R54" i="19"/>
  <c r="R107" i="19"/>
  <c r="R72" i="19"/>
  <c r="R37" i="19"/>
  <c r="R53" i="19"/>
  <c r="R31" i="19"/>
  <c r="R95" i="19"/>
  <c r="R113" i="19"/>
  <c r="R48" i="19"/>
  <c r="R63" i="19"/>
  <c r="R114" i="19"/>
  <c r="R132" i="19"/>
  <c r="R46" i="19"/>
  <c r="R55" i="19"/>
  <c r="R59" i="19"/>
  <c r="R75" i="19"/>
  <c r="R51" i="19"/>
  <c r="R44" i="19"/>
  <c r="R47" i="19"/>
  <c r="R38" i="19"/>
  <c r="R68" i="19"/>
  <c r="R33" i="19"/>
  <c r="R42" i="19"/>
  <c r="R69" i="19"/>
  <c r="HN27" i="13"/>
  <c r="HO27" i="13"/>
  <c r="HI27" i="13"/>
  <c r="HH27" i="13"/>
  <c r="HJ27" i="13"/>
  <c r="HK27" i="13"/>
  <c r="HG27" i="13"/>
  <c r="HP27" i="13"/>
  <c r="HL27" i="13"/>
  <c r="HM27" i="13"/>
  <c r="FX10" i="13"/>
  <c r="EJ10" i="13"/>
  <c r="EZ10" i="13"/>
  <c r="GV10" i="13"/>
  <c r="GN10" i="13"/>
  <c r="ER10" i="13"/>
  <c r="GF10" i="13"/>
  <c r="FP10" i="13"/>
  <c r="FH10" i="13"/>
  <c r="EB10" i="13"/>
  <c r="N29" i="4"/>
  <c r="N30" i="4"/>
  <c r="N31" i="4"/>
  <c r="N32" i="4"/>
  <c r="N33" i="4"/>
  <c r="N34" i="4"/>
  <c r="N35" i="4"/>
  <c r="N36" i="4"/>
  <c r="N37" i="4"/>
  <c r="N38" i="4"/>
  <c r="T7" i="4" s="1" a="1"/>
  <c r="T7" i="4" s="1"/>
  <c r="V7" i="4" s="1"/>
  <c r="N39" i="4"/>
  <c r="N40" i="4"/>
  <c r="N41" i="4"/>
  <c r="N42" i="4"/>
  <c r="N43" i="4"/>
  <c r="N44" i="4"/>
  <c r="N45" i="4"/>
  <c r="N46" i="4"/>
  <c r="N47" i="4"/>
  <c r="N48" i="4"/>
  <c r="N28" i="4"/>
  <c r="EB15" i="13" l="1"/>
  <c r="CI6" i="13" s="1"/>
  <c r="I118" i="8" a="1"/>
  <c r="I118" i="8" s="1"/>
  <c r="I116" i="8" a="1"/>
  <c r="I116" i="8" s="1"/>
  <c r="I114" i="8" a="1"/>
  <c r="I114" i="8" s="1"/>
  <c r="I112" i="8" a="1"/>
  <c r="I112" i="8" s="1"/>
  <c r="I110" i="8" a="1"/>
  <c r="I110" i="8" s="1"/>
  <c r="I108" i="8" a="1"/>
  <c r="I108" i="8" s="1"/>
  <c r="I106" i="8" a="1"/>
  <c r="I106" i="8" s="1"/>
  <c r="I104" i="8" a="1"/>
  <c r="I104" i="8" s="1"/>
  <c r="I102" i="8" a="1"/>
  <c r="I102" i="8" s="1"/>
  <c r="I100" i="8" a="1"/>
  <c r="I100" i="8" s="1"/>
  <c r="I98" i="8" a="1"/>
  <c r="I98" i="8" s="1"/>
  <c r="I96" i="8" a="1"/>
  <c r="I96" i="8" s="1"/>
  <c r="I94" i="8" a="1"/>
  <c r="I94" i="8" s="1"/>
  <c r="I92" i="8" a="1"/>
  <c r="I92" i="8" s="1"/>
  <c r="I90" i="8" a="1"/>
  <c r="I90" i="8" s="1"/>
  <c r="I88" i="8" a="1"/>
  <c r="I88" i="8" s="1"/>
  <c r="I86" i="8" a="1"/>
  <c r="I86" i="8" s="1"/>
  <c r="I84" i="8" a="1"/>
  <c r="I84" i="8" s="1"/>
  <c r="I82" i="8" a="1"/>
  <c r="I82" i="8" s="1"/>
  <c r="I80" i="8" a="1"/>
  <c r="I80" i="8" s="1"/>
  <c r="I78" i="8" a="1"/>
  <c r="I78" i="8" s="1"/>
  <c r="I76" i="8" a="1"/>
  <c r="I76" i="8" s="1"/>
  <c r="I74" i="8" a="1"/>
  <c r="I74" i="8" s="1"/>
  <c r="I72" i="8" a="1"/>
  <c r="I72" i="8" s="1"/>
  <c r="I70" i="8" a="1"/>
  <c r="I70" i="8" s="1"/>
  <c r="I68" i="8" a="1"/>
  <c r="I68" i="8" s="1"/>
  <c r="I66" i="8" a="1"/>
  <c r="I66" i="8" s="1"/>
  <c r="I64" i="8" a="1"/>
  <c r="I64" i="8" s="1"/>
  <c r="I62" i="8" a="1"/>
  <c r="I62" i="8" s="1"/>
  <c r="I60" i="8" a="1"/>
  <c r="I60" i="8" s="1"/>
  <c r="I58" i="8" a="1"/>
  <c r="I58" i="8" s="1"/>
  <c r="I56" i="8" a="1"/>
  <c r="I56" i="8" s="1"/>
  <c r="F53" i="8" a="1"/>
  <c r="F53" i="8" s="1"/>
  <c r="F51" i="8" a="1"/>
  <c r="F51" i="8" s="1"/>
  <c r="F49" i="8" a="1"/>
  <c r="F49" i="8" s="1"/>
  <c r="F47" i="8" a="1"/>
  <c r="F47" i="8" s="1"/>
  <c r="F45" i="8" a="1"/>
  <c r="F45" i="8" s="1"/>
  <c r="F43" i="8" a="1"/>
  <c r="F43" i="8" s="1"/>
  <c r="F41" i="8" a="1"/>
  <c r="F41" i="8" s="1"/>
  <c r="F39" i="8" a="1"/>
  <c r="F39" i="8" s="1"/>
  <c r="F37" i="8" a="1"/>
  <c r="F37" i="8" s="1"/>
  <c r="F35" i="8" a="1"/>
  <c r="F35" i="8" s="1"/>
  <c r="G33" i="8" a="1"/>
  <c r="G33" i="8" s="1"/>
  <c r="AA117" i="19" a="1"/>
  <c r="AA117" i="19" s="1"/>
  <c r="AA115" i="19" a="1"/>
  <c r="AA115" i="19" s="1"/>
  <c r="AA113" i="19" a="1"/>
  <c r="AA113" i="19" s="1"/>
  <c r="AA111" i="19" a="1"/>
  <c r="AA111" i="19" s="1"/>
  <c r="AA109" i="19" a="1"/>
  <c r="AA109" i="19" s="1"/>
  <c r="AA107" i="19" a="1"/>
  <c r="AA107" i="19" s="1"/>
  <c r="AA105" i="19" a="1"/>
  <c r="AA105" i="19" s="1"/>
  <c r="AB103" i="19" a="1"/>
  <c r="AB103" i="19" s="1"/>
  <c r="AB101" i="19" a="1"/>
  <c r="AB101" i="19" s="1"/>
  <c r="AB99" i="19" a="1"/>
  <c r="AB99" i="19" s="1"/>
  <c r="AB97" i="19" a="1"/>
  <c r="AB97" i="19" s="1"/>
  <c r="AB95" i="19" a="1"/>
  <c r="AB95" i="19" s="1"/>
  <c r="AB93" i="19" a="1"/>
  <c r="AB93" i="19" s="1"/>
  <c r="AB91" i="19" a="1"/>
  <c r="AB91" i="19" s="1"/>
  <c r="AB89" i="19" a="1"/>
  <c r="AB89" i="19" s="1"/>
  <c r="AB87" i="19" a="1"/>
  <c r="AB87" i="19" s="1"/>
  <c r="AB85" i="19" a="1"/>
  <c r="AB85" i="19" s="1"/>
  <c r="AB83" i="19" a="1"/>
  <c r="AB83" i="19" s="1"/>
  <c r="AB81" i="19" a="1"/>
  <c r="AB81" i="19" s="1"/>
  <c r="AB79" i="19" a="1"/>
  <c r="AB79" i="19" s="1"/>
  <c r="AC77" i="19" a="1"/>
  <c r="AC77" i="19" s="1"/>
  <c r="AC75" i="19" a="1"/>
  <c r="AC75" i="19" s="1"/>
  <c r="AC73" i="19" a="1"/>
  <c r="AC73" i="19" s="1"/>
  <c r="AC71" i="19" a="1"/>
  <c r="AC71" i="19" s="1"/>
  <c r="AC69" i="19" a="1"/>
  <c r="AC69" i="19" s="1"/>
  <c r="AC67" i="19" a="1"/>
  <c r="AC67" i="19" s="1"/>
  <c r="AC65" i="19" a="1"/>
  <c r="AC65" i="19" s="1"/>
  <c r="Z64" i="19" a="1"/>
  <c r="Z64" i="19" s="1"/>
  <c r="Z62" i="19" a="1"/>
  <c r="Z62" i="19" s="1"/>
  <c r="Z60" i="19" a="1"/>
  <c r="Z60" i="19" s="1"/>
  <c r="Z58" i="19" a="1"/>
  <c r="Z58" i="19" s="1"/>
  <c r="Z56" i="19" a="1"/>
  <c r="Z56" i="19" s="1"/>
  <c r="AA52" i="19" a="1"/>
  <c r="AA52" i="19" s="1"/>
  <c r="AA50" i="19" a="1"/>
  <c r="AA50" i="19" s="1"/>
  <c r="AA48" i="19" a="1"/>
  <c r="AA48" i="19" s="1"/>
  <c r="AA46" i="19" a="1"/>
  <c r="AA46" i="19" s="1"/>
  <c r="AA44" i="19" a="1"/>
  <c r="AA44" i="19" s="1"/>
  <c r="AA42" i="19" a="1"/>
  <c r="AA42" i="19" s="1"/>
  <c r="AA40" i="19" a="1"/>
  <c r="AA40" i="19" s="1"/>
  <c r="AA38" i="19" a="1"/>
  <c r="AA38" i="19" s="1"/>
  <c r="H118" i="8" a="1"/>
  <c r="H118" i="8" s="1"/>
  <c r="H116" i="8" a="1"/>
  <c r="H116" i="8" s="1"/>
  <c r="H114" i="8" a="1"/>
  <c r="H114" i="8" s="1"/>
  <c r="H112" i="8" a="1"/>
  <c r="H112" i="8" s="1"/>
  <c r="H110" i="8" a="1"/>
  <c r="H110" i="8" s="1"/>
  <c r="H108" i="8" a="1"/>
  <c r="H108" i="8" s="1"/>
  <c r="H106" i="8" a="1"/>
  <c r="H106" i="8" s="1"/>
  <c r="G118" i="8" a="1"/>
  <c r="G118" i="8" s="1"/>
  <c r="G116" i="8" a="1"/>
  <c r="G116" i="8" s="1"/>
  <c r="G114" i="8" a="1"/>
  <c r="G114" i="8" s="1"/>
  <c r="G112" i="8" a="1"/>
  <c r="G112" i="8" s="1"/>
  <c r="G110" i="8" a="1"/>
  <c r="G110" i="8" s="1"/>
  <c r="G108" i="8" a="1"/>
  <c r="G108" i="8" s="1"/>
  <c r="G106" i="8" a="1"/>
  <c r="G106" i="8" s="1"/>
  <c r="G104" i="8" a="1"/>
  <c r="G104" i="8" s="1"/>
  <c r="G102" i="8" a="1"/>
  <c r="G102" i="8" s="1"/>
  <c r="G100" i="8" a="1"/>
  <c r="G100" i="8" s="1"/>
  <c r="G98" i="8" a="1"/>
  <c r="G98" i="8" s="1"/>
  <c r="G96" i="8" a="1"/>
  <c r="G96" i="8" s="1"/>
  <c r="G94" i="8" a="1"/>
  <c r="G94" i="8" s="1"/>
  <c r="G92" i="8" a="1"/>
  <c r="G92" i="8" s="1"/>
  <c r="G90" i="8" a="1"/>
  <c r="G90" i="8" s="1"/>
  <c r="G88" i="8" a="1"/>
  <c r="G88" i="8" s="1"/>
  <c r="G86" i="8" a="1"/>
  <c r="G86" i="8" s="1"/>
  <c r="G84" i="8" a="1"/>
  <c r="G84" i="8" s="1"/>
  <c r="G82" i="8" a="1"/>
  <c r="G82" i="8" s="1"/>
  <c r="G80" i="8" a="1"/>
  <c r="G80" i="8" s="1"/>
  <c r="G78" i="8" a="1"/>
  <c r="G78" i="8" s="1"/>
  <c r="G76" i="8" a="1"/>
  <c r="G76" i="8" s="1"/>
  <c r="G74" i="8" a="1"/>
  <c r="G74" i="8" s="1"/>
  <c r="G72" i="8" a="1"/>
  <c r="G72" i="8" s="1"/>
  <c r="G70" i="8" a="1"/>
  <c r="G70" i="8" s="1"/>
  <c r="G68" i="8" a="1"/>
  <c r="G68" i="8" s="1"/>
  <c r="G66" i="8" a="1"/>
  <c r="G66" i="8" s="1"/>
  <c r="G64" i="8" a="1"/>
  <c r="G64" i="8" s="1"/>
  <c r="G62" i="8" a="1"/>
  <c r="G62" i="8" s="1"/>
  <c r="G60" i="8" a="1"/>
  <c r="G60" i="8" s="1"/>
  <c r="G58" i="8" a="1"/>
  <c r="G58" i="8" s="1"/>
  <c r="G56" i="8" a="1"/>
  <c r="G56" i="8" s="1"/>
  <c r="H54" i="8" a="1"/>
  <c r="H54" i="8" s="1"/>
  <c r="H52" i="8" a="1"/>
  <c r="H52" i="8" s="1"/>
  <c r="H50" i="8" a="1"/>
  <c r="H50" i="8" s="1"/>
  <c r="H48" i="8" a="1"/>
  <c r="H48" i="8" s="1"/>
  <c r="H46" i="8" a="1"/>
  <c r="H46" i="8" s="1"/>
  <c r="H44" i="8" a="1"/>
  <c r="H44" i="8" s="1"/>
  <c r="H42" i="8" a="1"/>
  <c r="H42" i="8" s="1"/>
  <c r="H40" i="8" a="1"/>
  <c r="H40" i="8" s="1"/>
  <c r="H38" i="8" a="1"/>
  <c r="H38" i="8" s="1"/>
  <c r="H36" i="8" a="1"/>
  <c r="H36" i="8" s="1"/>
  <c r="H34" i="8" a="1"/>
  <c r="H34" i="8" s="1"/>
  <c r="I32" i="8" a="1"/>
  <c r="I32" i="8" s="1"/>
  <c r="AC116" i="19" a="1"/>
  <c r="AC116" i="19" s="1"/>
  <c r="AC114" i="19" a="1"/>
  <c r="AC114" i="19" s="1"/>
  <c r="AC112" i="19" a="1"/>
  <c r="AC112" i="19" s="1"/>
  <c r="AC110" i="19" a="1"/>
  <c r="AC110" i="19" s="1"/>
  <c r="AC108" i="19" a="1"/>
  <c r="AC108" i="19" s="1"/>
  <c r="AC106" i="19" a="1"/>
  <c r="AC106" i="19" s="1"/>
  <c r="AC104" i="19" a="1"/>
  <c r="AC104" i="19" s="1"/>
  <c r="Z103" i="19" a="1"/>
  <c r="Z103" i="19" s="1"/>
  <c r="Z101" i="19" a="1"/>
  <c r="Z101" i="19" s="1"/>
  <c r="Z99" i="19" a="1"/>
  <c r="Z99" i="19" s="1"/>
  <c r="Z97" i="19" a="1"/>
  <c r="Z97" i="19" s="1"/>
  <c r="Z95" i="19" a="1"/>
  <c r="Z95" i="19" s="1"/>
  <c r="Z93" i="19" a="1"/>
  <c r="Z93" i="19" s="1"/>
  <c r="Z91" i="19" a="1"/>
  <c r="Z91" i="19" s="1"/>
  <c r="Z89" i="19" a="1"/>
  <c r="Z89" i="19" s="1"/>
  <c r="Z87" i="19" a="1"/>
  <c r="Z87" i="19" s="1"/>
  <c r="Z85" i="19" a="1"/>
  <c r="Z85" i="19" s="1"/>
  <c r="Z83" i="19" a="1"/>
  <c r="Z83" i="19" s="1"/>
  <c r="Z81" i="19" a="1"/>
  <c r="Z81" i="19" s="1"/>
  <c r="Z79" i="19" a="1"/>
  <c r="Z79" i="19" s="1"/>
  <c r="AA77" i="19" a="1"/>
  <c r="AA77" i="19" s="1"/>
  <c r="AA75" i="19" a="1"/>
  <c r="AA75" i="19" s="1"/>
  <c r="AA73" i="19" a="1"/>
  <c r="AA73" i="19" s="1"/>
  <c r="AA71" i="19" a="1"/>
  <c r="AA71" i="19" s="1"/>
  <c r="AA69" i="19" a="1"/>
  <c r="AA69" i="19" s="1"/>
  <c r="AA67" i="19" a="1"/>
  <c r="AA67" i="19" s="1"/>
  <c r="AA65" i="19" a="1"/>
  <c r="AA65" i="19" s="1"/>
  <c r="AB63" i="19" a="1"/>
  <c r="AB63" i="19" s="1"/>
  <c r="AB61" i="19" a="1"/>
  <c r="AB61" i="19" s="1"/>
  <c r="AB59" i="19" a="1"/>
  <c r="AB59" i="19" s="1"/>
  <c r="AB57" i="19" a="1"/>
  <c r="AB57" i="19" s="1"/>
  <c r="AB55" i="19" a="1"/>
  <c r="AB55" i="19" s="1"/>
  <c r="AC53" i="19" a="1"/>
  <c r="AC53" i="19" s="1"/>
  <c r="AC51" i="19" a="1"/>
  <c r="AC51" i="19" s="1"/>
  <c r="AC49" i="19" a="1"/>
  <c r="AC49" i="19" s="1"/>
  <c r="AC47" i="19" a="1"/>
  <c r="AC47" i="19" s="1"/>
  <c r="AC45" i="19" a="1"/>
  <c r="AC45" i="19" s="1"/>
  <c r="AC43" i="19" a="1"/>
  <c r="AC43" i="19" s="1"/>
  <c r="AC41" i="19" a="1"/>
  <c r="AC41" i="19" s="1"/>
  <c r="AC39" i="19" a="1"/>
  <c r="AC39" i="19" s="1"/>
  <c r="AC37" i="19" a="1"/>
  <c r="AC37" i="19" s="1"/>
  <c r="F118" i="8" a="1"/>
  <c r="F118" i="8" s="1"/>
  <c r="F116" i="8" a="1"/>
  <c r="F116" i="8" s="1"/>
  <c r="F114" i="8" a="1"/>
  <c r="F114" i="8" s="1"/>
  <c r="F112" i="8" a="1"/>
  <c r="F112" i="8" s="1"/>
  <c r="F110" i="8" a="1"/>
  <c r="F110" i="8" s="1"/>
  <c r="F108" i="8" a="1"/>
  <c r="F108" i="8" s="1"/>
  <c r="F106" i="8" a="1"/>
  <c r="F106" i="8" s="1"/>
  <c r="F104" i="8" a="1"/>
  <c r="F104" i="8" s="1"/>
  <c r="F102" i="8" a="1"/>
  <c r="F102" i="8" s="1"/>
  <c r="F100" i="8" a="1"/>
  <c r="F100" i="8" s="1"/>
  <c r="F98" i="8" a="1"/>
  <c r="F98" i="8" s="1"/>
  <c r="F96" i="8" a="1"/>
  <c r="F96" i="8" s="1"/>
  <c r="F94" i="8" a="1"/>
  <c r="F94" i="8" s="1"/>
  <c r="F92" i="8" a="1"/>
  <c r="F92" i="8" s="1"/>
  <c r="F90" i="8" a="1"/>
  <c r="F90" i="8" s="1"/>
  <c r="F88" i="8" a="1"/>
  <c r="F88" i="8" s="1"/>
  <c r="F86" i="8" a="1"/>
  <c r="F86" i="8" s="1"/>
  <c r="F84" i="8" a="1"/>
  <c r="F84" i="8" s="1"/>
  <c r="F82" i="8" a="1"/>
  <c r="F82" i="8" s="1"/>
  <c r="F80" i="8" a="1"/>
  <c r="F80" i="8" s="1"/>
  <c r="F78" i="8" a="1"/>
  <c r="F78" i="8" s="1"/>
  <c r="F76" i="8" a="1"/>
  <c r="F76" i="8" s="1"/>
  <c r="F74" i="8" a="1"/>
  <c r="F74" i="8" s="1"/>
  <c r="F72" i="8" a="1"/>
  <c r="F72" i="8" s="1"/>
  <c r="F70" i="8" a="1"/>
  <c r="F70" i="8" s="1"/>
  <c r="F68" i="8" a="1"/>
  <c r="F68" i="8" s="1"/>
  <c r="F66" i="8" a="1"/>
  <c r="F66" i="8" s="1"/>
  <c r="F64" i="8" a="1"/>
  <c r="F64" i="8" s="1"/>
  <c r="F62" i="8" a="1"/>
  <c r="F62" i="8" s="1"/>
  <c r="F60" i="8" a="1"/>
  <c r="F60" i="8" s="1"/>
  <c r="F58" i="8" a="1"/>
  <c r="F58" i="8" s="1"/>
  <c r="F56" i="8" a="1"/>
  <c r="F56" i="8" s="1"/>
  <c r="G54" i="8" a="1"/>
  <c r="G54" i="8" s="1"/>
  <c r="G52" i="8" a="1"/>
  <c r="G52" i="8" s="1"/>
  <c r="G50" i="8" a="1"/>
  <c r="G50" i="8" s="1"/>
  <c r="G48" i="8" a="1"/>
  <c r="G48" i="8" s="1"/>
  <c r="G46" i="8" a="1"/>
  <c r="G46" i="8" s="1"/>
  <c r="G44" i="8" a="1"/>
  <c r="G44" i="8" s="1"/>
  <c r="G42" i="8" a="1"/>
  <c r="G42" i="8" s="1"/>
  <c r="G40" i="8" a="1"/>
  <c r="G40" i="8" s="1"/>
  <c r="G38" i="8" a="1"/>
  <c r="G38" i="8" s="1"/>
  <c r="G36" i="8" a="1"/>
  <c r="G36" i="8" s="1"/>
  <c r="G34" i="8" a="1"/>
  <c r="G34" i="8" s="1"/>
  <c r="H32" i="8" a="1"/>
  <c r="H32" i="8" s="1"/>
  <c r="AB116" i="19" a="1"/>
  <c r="AB116" i="19" s="1"/>
  <c r="AB114" i="19" a="1"/>
  <c r="AB114" i="19" s="1"/>
  <c r="AB112" i="19" a="1"/>
  <c r="AB112" i="19" s="1"/>
  <c r="AB110" i="19" a="1"/>
  <c r="AB110" i="19" s="1"/>
  <c r="AB108" i="19" a="1"/>
  <c r="AB108" i="19" s="1"/>
  <c r="AB106" i="19" a="1"/>
  <c r="AB106" i="19" s="1"/>
  <c r="AB104" i="19" a="1"/>
  <c r="AB104" i="19" s="1"/>
  <c r="AC102" i="19" a="1"/>
  <c r="AC102" i="19" s="1"/>
  <c r="AC100" i="19" a="1"/>
  <c r="AC100" i="19" s="1"/>
  <c r="AC98" i="19" a="1"/>
  <c r="AC98" i="19" s="1"/>
  <c r="AC96" i="19" a="1"/>
  <c r="AC96" i="19" s="1"/>
  <c r="AC94" i="19" a="1"/>
  <c r="AC94" i="19" s="1"/>
  <c r="AC92" i="19" a="1"/>
  <c r="AC92" i="19" s="1"/>
  <c r="AC90" i="19" a="1"/>
  <c r="AC90" i="19" s="1"/>
  <c r="AC88" i="19" a="1"/>
  <c r="AC88" i="19" s="1"/>
  <c r="AC86" i="19" a="1"/>
  <c r="AC86" i="19" s="1"/>
  <c r="AC84" i="19" a="1"/>
  <c r="AC84" i="19" s="1"/>
  <c r="AC82" i="19" a="1"/>
  <c r="AC82" i="19" s="1"/>
  <c r="AC80" i="19" a="1"/>
  <c r="AC80" i="19" s="1"/>
  <c r="AC78" i="19" a="1"/>
  <c r="AC78" i="19" s="1"/>
  <c r="Z77" i="19" a="1"/>
  <c r="Z77" i="19" s="1"/>
  <c r="Z75" i="19" a="1"/>
  <c r="Z75" i="19" s="1"/>
  <c r="Z73" i="19" a="1"/>
  <c r="Z73" i="19" s="1"/>
  <c r="Z71" i="19" a="1"/>
  <c r="Z71" i="19" s="1"/>
  <c r="Z69" i="19" a="1"/>
  <c r="Z69" i="19" s="1"/>
  <c r="Z67" i="19" a="1"/>
  <c r="Z67" i="19" s="1"/>
  <c r="Z65" i="19" a="1"/>
  <c r="Z65" i="19" s="1"/>
  <c r="AA63" i="19" a="1"/>
  <c r="AA63" i="19" s="1"/>
  <c r="AA61" i="19" a="1"/>
  <c r="AA61" i="19" s="1"/>
  <c r="AA59" i="19" a="1"/>
  <c r="AA59" i="19" s="1"/>
  <c r="AA57" i="19" a="1"/>
  <c r="AA57" i="19" s="1"/>
  <c r="AA55" i="19" a="1"/>
  <c r="AA55" i="19" s="1"/>
  <c r="AB53" i="19" a="1"/>
  <c r="AB53" i="19" s="1"/>
  <c r="AB51" i="19" a="1"/>
  <c r="AB51" i="19" s="1"/>
  <c r="AB49" i="19" a="1"/>
  <c r="AB49" i="19" s="1"/>
  <c r="AB47" i="19" a="1"/>
  <c r="AB47" i="19" s="1"/>
  <c r="AB45" i="19" a="1"/>
  <c r="AB45" i="19" s="1"/>
  <c r="AB43" i="19" a="1"/>
  <c r="AB43" i="19" s="1"/>
  <c r="AB41" i="19" a="1"/>
  <c r="AB41" i="19" s="1"/>
  <c r="AB39" i="19" a="1"/>
  <c r="AB39" i="19" s="1"/>
  <c r="AB37" i="19" a="1"/>
  <c r="AB37" i="19" s="1"/>
  <c r="I117" i="8" a="1"/>
  <c r="I117" i="8" s="1"/>
  <c r="I115" i="8" a="1"/>
  <c r="I115" i="8" s="1"/>
  <c r="I113" i="8" a="1"/>
  <c r="I113" i="8" s="1"/>
  <c r="I111" i="8" a="1"/>
  <c r="I111" i="8" s="1"/>
  <c r="I109" i="8" a="1"/>
  <c r="I109" i="8" s="1"/>
  <c r="I107" i="8" a="1"/>
  <c r="I107" i="8" s="1"/>
  <c r="I105" i="8" a="1"/>
  <c r="I105" i="8" s="1"/>
  <c r="I103" i="8" a="1"/>
  <c r="I103" i="8" s="1"/>
  <c r="I101" i="8" a="1"/>
  <c r="I101" i="8" s="1"/>
  <c r="I99" i="8" a="1"/>
  <c r="I99" i="8" s="1"/>
  <c r="I97" i="8" a="1"/>
  <c r="I97" i="8" s="1"/>
  <c r="I95" i="8" a="1"/>
  <c r="I95" i="8" s="1"/>
  <c r="I93" i="8" a="1"/>
  <c r="I93" i="8" s="1"/>
  <c r="I91" i="8" a="1"/>
  <c r="I91" i="8" s="1"/>
  <c r="I89" i="8" a="1"/>
  <c r="I89" i="8" s="1"/>
  <c r="I87" i="8" a="1"/>
  <c r="I87" i="8" s="1"/>
  <c r="I85" i="8" a="1"/>
  <c r="I85" i="8" s="1"/>
  <c r="I83" i="8" a="1"/>
  <c r="I83" i="8" s="1"/>
  <c r="I81" i="8" a="1"/>
  <c r="I81" i="8" s="1"/>
  <c r="I79" i="8" a="1"/>
  <c r="I79" i="8" s="1"/>
  <c r="I77" i="8" a="1"/>
  <c r="I77" i="8" s="1"/>
  <c r="I75" i="8" a="1"/>
  <c r="I75" i="8" s="1"/>
  <c r="I73" i="8" a="1"/>
  <c r="I73" i="8" s="1"/>
  <c r="I71" i="8" a="1"/>
  <c r="I71" i="8" s="1"/>
  <c r="I69" i="8" a="1"/>
  <c r="I69" i="8" s="1"/>
  <c r="I67" i="8" a="1"/>
  <c r="I67" i="8" s="1"/>
  <c r="I65" i="8" a="1"/>
  <c r="I65" i="8" s="1"/>
  <c r="I63" i="8" a="1"/>
  <c r="I63" i="8" s="1"/>
  <c r="I61" i="8" a="1"/>
  <c r="I61" i="8" s="1"/>
  <c r="I59" i="8" a="1"/>
  <c r="I59" i="8" s="1"/>
  <c r="I57" i="8" a="1"/>
  <c r="I57" i="8" s="1"/>
  <c r="I55" i="8" a="1"/>
  <c r="I55" i="8" s="1"/>
  <c r="F54" i="8" a="1"/>
  <c r="F54" i="8" s="1"/>
  <c r="F52" i="8" a="1"/>
  <c r="F52" i="8" s="1"/>
  <c r="F50" i="8" a="1"/>
  <c r="F50" i="8" s="1"/>
  <c r="F48" i="8" a="1"/>
  <c r="F48" i="8" s="1"/>
  <c r="F46" i="8" a="1"/>
  <c r="F46" i="8" s="1"/>
  <c r="F44" i="8" a="1"/>
  <c r="F44" i="8" s="1"/>
  <c r="F42" i="8" a="1"/>
  <c r="F42" i="8" s="1"/>
  <c r="F40" i="8" a="1"/>
  <c r="F40" i="8" s="1"/>
  <c r="F38" i="8" a="1"/>
  <c r="F38" i="8" s="1"/>
  <c r="F36" i="8" a="1"/>
  <c r="F36" i="8" s="1"/>
  <c r="F34" i="8" a="1"/>
  <c r="F34" i="8" s="1"/>
  <c r="G32" i="8" a="1"/>
  <c r="G32" i="8" s="1"/>
  <c r="AA116" i="19" a="1"/>
  <c r="AA116" i="19" s="1"/>
  <c r="AA114" i="19" a="1"/>
  <c r="AA114" i="19" s="1"/>
  <c r="AA112" i="19" a="1"/>
  <c r="AA112" i="19" s="1"/>
  <c r="AA110" i="19" a="1"/>
  <c r="AA110" i="19" s="1"/>
  <c r="AA108" i="19" a="1"/>
  <c r="AA108" i="19" s="1"/>
  <c r="AA106" i="19" a="1"/>
  <c r="AA106" i="19" s="1"/>
  <c r="AA104" i="19" a="1"/>
  <c r="AA104" i="19" s="1"/>
  <c r="AB102" i="19" a="1"/>
  <c r="AB102" i="19" s="1"/>
  <c r="AB100" i="19" a="1"/>
  <c r="AB100" i="19" s="1"/>
  <c r="AB98" i="19" a="1"/>
  <c r="AB98" i="19" s="1"/>
  <c r="AB96" i="19" a="1"/>
  <c r="AB96" i="19" s="1"/>
  <c r="AB94" i="19" a="1"/>
  <c r="AB94" i="19" s="1"/>
  <c r="AB92" i="19" a="1"/>
  <c r="AB92" i="19" s="1"/>
  <c r="AB90" i="19" a="1"/>
  <c r="AB90" i="19" s="1"/>
  <c r="AB88" i="19" a="1"/>
  <c r="AB88" i="19" s="1"/>
  <c r="AB86" i="19" a="1"/>
  <c r="AB86" i="19" s="1"/>
  <c r="AB84" i="19" a="1"/>
  <c r="AB84" i="19" s="1"/>
  <c r="AB82" i="19" a="1"/>
  <c r="AB82" i="19" s="1"/>
  <c r="AB80" i="19" a="1"/>
  <c r="AB80" i="19" s="1"/>
  <c r="AB78" i="19" a="1"/>
  <c r="AB78" i="19" s="1"/>
  <c r="AC76" i="19" a="1"/>
  <c r="AC76" i="19" s="1"/>
  <c r="AC74" i="19" a="1"/>
  <c r="AC74" i="19" s="1"/>
  <c r="AC72" i="19" a="1"/>
  <c r="AC72" i="19" s="1"/>
  <c r="AC70" i="19" a="1"/>
  <c r="AC70" i="19" s="1"/>
  <c r="AC68" i="19" a="1"/>
  <c r="AC68" i="19" s="1"/>
  <c r="AC66" i="19" a="1"/>
  <c r="AC66" i="19" s="1"/>
  <c r="AC64" i="19" a="1"/>
  <c r="AC64" i="19" s="1"/>
  <c r="Z63" i="19" a="1"/>
  <c r="Z63" i="19" s="1"/>
  <c r="Z61" i="19" a="1"/>
  <c r="Z61" i="19" s="1"/>
  <c r="Z59" i="19" a="1"/>
  <c r="Z59" i="19" s="1"/>
  <c r="Z57" i="19" a="1"/>
  <c r="Z57" i="19" s="1"/>
  <c r="Z55" i="19" a="1"/>
  <c r="Z55" i="19" s="1"/>
  <c r="AA53" i="19" a="1"/>
  <c r="AA53" i="19" s="1"/>
  <c r="AA51" i="19" a="1"/>
  <c r="AA51" i="19" s="1"/>
  <c r="AA49" i="19" a="1"/>
  <c r="AA49" i="19" s="1"/>
  <c r="AA47" i="19" a="1"/>
  <c r="AA47" i="19" s="1"/>
  <c r="AA45" i="19" a="1"/>
  <c r="AA45" i="19" s="1"/>
  <c r="AA43" i="19" a="1"/>
  <c r="AA43" i="19" s="1"/>
  <c r="AA41" i="19" a="1"/>
  <c r="AA41" i="19" s="1"/>
  <c r="AA39" i="19" a="1"/>
  <c r="AA39" i="19" s="1"/>
  <c r="AA37" i="19" a="1"/>
  <c r="AA37" i="19" s="1"/>
  <c r="H117" i="8" a="1"/>
  <c r="H117" i="8" s="1"/>
  <c r="H115" i="8" a="1"/>
  <c r="H115" i="8" s="1"/>
  <c r="H113" i="8" a="1"/>
  <c r="H113" i="8" s="1"/>
  <c r="H111" i="8" a="1"/>
  <c r="H111" i="8" s="1"/>
  <c r="H109" i="8" a="1"/>
  <c r="H109" i="8" s="1"/>
  <c r="H107" i="8" a="1"/>
  <c r="H107" i="8" s="1"/>
  <c r="H105" i="8" a="1"/>
  <c r="H105" i="8" s="1"/>
  <c r="H103" i="8" a="1"/>
  <c r="H103" i="8" s="1"/>
  <c r="H101" i="8" a="1"/>
  <c r="H101" i="8" s="1"/>
  <c r="H99" i="8" a="1"/>
  <c r="H99" i="8" s="1"/>
  <c r="H97" i="8" a="1"/>
  <c r="H97" i="8" s="1"/>
  <c r="H95" i="8" a="1"/>
  <c r="H95" i="8" s="1"/>
  <c r="H93" i="8" a="1"/>
  <c r="H93" i="8" s="1"/>
  <c r="H91" i="8" a="1"/>
  <c r="H91" i="8" s="1"/>
  <c r="H89" i="8" a="1"/>
  <c r="H89" i="8" s="1"/>
  <c r="H87" i="8" a="1"/>
  <c r="H87" i="8" s="1"/>
  <c r="H85" i="8" a="1"/>
  <c r="H85" i="8" s="1"/>
  <c r="H83" i="8" a="1"/>
  <c r="H83" i="8" s="1"/>
  <c r="H81" i="8" a="1"/>
  <c r="H81" i="8" s="1"/>
  <c r="H79" i="8" a="1"/>
  <c r="H79" i="8" s="1"/>
  <c r="H77" i="8" a="1"/>
  <c r="H77" i="8" s="1"/>
  <c r="H75" i="8" a="1"/>
  <c r="H75" i="8" s="1"/>
  <c r="H73" i="8" a="1"/>
  <c r="H73" i="8" s="1"/>
  <c r="H71" i="8" a="1"/>
  <c r="H71" i="8" s="1"/>
  <c r="H69" i="8" a="1"/>
  <c r="H69" i="8" s="1"/>
  <c r="H67" i="8" a="1"/>
  <c r="H67" i="8" s="1"/>
  <c r="H65" i="8" a="1"/>
  <c r="H65" i="8" s="1"/>
  <c r="H63" i="8" a="1"/>
  <c r="H63" i="8" s="1"/>
  <c r="H61" i="8" a="1"/>
  <c r="H61" i="8" s="1"/>
  <c r="H59" i="8" a="1"/>
  <c r="H59" i="8" s="1"/>
  <c r="H57" i="8" a="1"/>
  <c r="H57" i="8" s="1"/>
  <c r="H55" i="8" a="1"/>
  <c r="H55" i="8" s="1"/>
  <c r="I53" i="8" a="1"/>
  <c r="I53" i="8" s="1"/>
  <c r="I51" i="8" a="1"/>
  <c r="I51" i="8" s="1"/>
  <c r="I49" i="8" a="1"/>
  <c r="I49" i="8" s="1"/>
  <c r="I47" i="8" a="1"/>
  <c r="I47" i="8" s="1"/>
  <c r="I45" i="8" a="1"/>
  <c r="I45" i="8" s="1"/>
  <c r="I43" i="8" a="1"/>
  <c r="I43" i="8" s="1"/>
  <c r="I41" i="8" a="1"/>
  <c r="I41" i="8" s="1"/>
  <c r="I39" i="8" a="1"/>
  <c r="I39" i="8" s="1"/>
  <c r="I37" i="8" a="1"/>
  <c r="I37" i="8" s="1"/>
  <c r="I35" i="8" a="1"/>
  <c r="I35" i="8" s="1"/>
  <c r="I33" i="8" a="1"/>
  <c r="I33" i="8" s="1"/>
  <c r="F32" i="8" a="1"/>
  <c r="F32" i="8" s="1"/>
  <c r="Z116" i="19" a="1"/>
  <c r="Z116" i="19" s="1"/>
  <c r="Z114" i="19" a="1"/>
  <c r="Z114" i="19" s="1"/>
  <c r="Z112" i="19" a="1"/>
  <c r="Z112" i="19" s="1"/>
  <c r="Z110" i="19" a="1"/>
  <c r="Z110" i="19" s="1"/>
  <c r="Z108" i="19" a="1"/>
  <c r="Z108" i="19" s="1"/>
  <c r="Z106" i="19" a="1"/>
  <c r="Z106" i="19" s="1"/>
  <c r="Z104" i="19" a="1"/>
  <c r="Z104" i="19" s="1"/>
  <c r="AA102" i="19" a="1"/>
  <c r="AA102" i="19" s="1"/>
  <c r="AA100" i="19" a="1"/>
  <c r="AA100" i="19" s="1"/>
  <c r="AA98" i="19" a="1"/>
  <c r="AA98" i="19" s="1"/>
  <c r="AA96" i="19" a="1"/>
  <c r="AA96" i="19" s="1"/>
  <c r="AA94" i="19" a="1"/>
  <c r="AA94" i="19" s="1"/>
  <c r="AA92" i="19" a="1"/>
  <c r="AA92" i="19" s="1"/>
  <c r="AA90" i="19" a="1"/>
  <c r="AA90" i="19" s="1"/>
  <c r="AA88" i="19" a="1"/>
  <c r="AA88" i="19" s="1"/>
  <c r="AA86" i="19" a="1"/>
  <c r="AA86" i="19" s="1"/>
  <c r="AA84" i="19" a="1"/>
  <c r="AA84" i="19" s="1"/>
  <c r="AA82" i="19" a="1"/>
  <c r="AA82" i="19" s="1"/>
  <c r="AA80" i="19" a="1"/>
  <c r="AA80" i="19" s="1"/>
  <c r="AA78" i="19" a="1"/>
  <c r="AA78" i="19" s="1"/>
  <c r="AB76" i="19" a="1"/>
  <c r="AB76" i="19" s="1"/>
  <c r="AB74" i="19" a="1"/>
  <c r="AB74" i="19" s="1"/>
  <c r="AB72" i="19" a="1"/>
  <c r="AB72" i="19" s="1"/>
  <c r="AB70" i="19" a="1"/>
  <c r="AB70" i="19" s="1"/>
  <c r="AB68" i="19" a="1"/>
  <c r="AB68" i="19" s="1"/>
  <c r="AB66" i="19" a="1"/>
  <c r="AB66" i="19" s="1"/>
  <c r="AB64" i="19" a="1"/>
  <c r="AB64" i="19" s="1"/>
  <c r="AC62" i="19" a="1"/>
  <c r="AC62" i="19" s="1"/>
  <c r="AC60" i="19" a="1"/>
  <c r="AC60" i="19" s="1"/>
  <c r="AC58" i="19" a="1"/>
  <c r="AC58" i="19" s="1"/>
  <c r="AC56" i="19" a="1"/>
  <c r="AC56" i="19" s="1"/>
  <c r="AC54" i="19" a="1"/>
  <c r="AC54" i="19" s="1"/>
  <c r="Z53" i="19" a="1"/>
  <c r="Z53" i="19" s="1"/>
  <c r="Z51" i="19" a="1"/>
  <c r="Z51" i="19" s="1"/>
  <c r="F117" i="8" a="1"/>
  <c r="F117" i="8" s="1"/>
  <c r="F115" i="8" a="1"/>
  <c r="F115" i="8" s="1"/>
  <c r="F113" i="8" a="1"/>
  <c r="F113" i="8" s="1"/>
  <c r="F111" i="8" a="1"/>
  <c r="F111" i="8" s="1"/>
  <c r="F109" i="8" a="1"/>
  <c r="F109" i="8" s="1"/>
  <c r="F107" i="8" a="1"/>
  <c r="F107" i="8" s="1"/>
  <c r="F105" i="8" a="1"/>
  <c r="F105" i="8" s="1"/>
  <c r="F103" i="8" a="1"/>
  <c r="F103" i="8" s="1"/>
  <c r="F101" i="8" a="1"/>
  <c r="F101" i="8" s="1"/>
  <c r="F99" i="8" a="1"/>
  <c r="F99" i="8" s="1"/>
  <c r="F97" i="8" a="1"/>
  <c r="F97" i="8" s="1"/>
  <c r="F95" i="8" a="1"/>
  <c r="F95" i="8" s="1"/>
  <c r="F93" i="8" a="1"/>
  <c r="F93" i="8" s="1"/>
  <c r="F91" i="8" a="1"/>
  <c r="F91" i="8" s="1"/>
  <c r="F89" i="8" a="1"/>
  <c r="F89" i="8" s="1"/>
  <c r="F87" i="8" a="1"/>
  <c r="F87" i="8" s="1"/>
  <c r="F85" i="8" a="1"/>
  <c r="F85" i="8" s="1"/>
  <c r="F83" i="8" a="1"/>
  <c r="F83" i="8" s="1"/>
  <c r="F81" i="8" a="1"/>
  <c r="F81" i="8" s="1"/>
  <c r="F79" i="8" a="1"/>
  <c r="F79" i="8" s="1"/>
  <c r="F77" i="8" a="1"/>
  <c r="F77" i="8" s="1"/>
  <c r="F75" i="8" a="1"/>
  <c r="F75" i="8" s="1"/>
  <c r="F73" i="8" a="1"/>
  <c r="F73" i="8" s="1"/>
  <c r="F71" i="8" a="1"/>
  <c r="F71" i="8" s="1"/>
  <c r="F69" i="8" a="1"/>
  <c r="F69" i="8" s="1"/>
  <c r="F67" i="8" a="1"/>
  <c r="F67" i="8" s="1"/>
  <c r="F65" i="8" a="1"/>
  <c r="F65" i="8" s="1"/>
  <c r="F63" i="8" a="1"/>
  <c r="F63" i="8" s="1"/>
  <c r="F61" i="8" a="1"/>
  <c r="F61" i="8" s="1"/>
  <c r="F59" i="8" a="1"/>
  <c r="F59" i="8" s="1"/>
  <c r="F57" i="8" a="1"/>
  <c r="F57" i="8" s="1"/>
  <c r="F55" i="8" a="1"/>
  <c r="F55" i="8" s="1"/>
  <c r="G53" i="8" a="1"/>
  <c r="G53" i="8" s="1"/>
  <c r="G51" i="8" a="1"/>
  <c r="G51" i="8" s="1"/>
  <c r="G49" i="8" a="1"/>
  <c r="G49" i="8" s="1"/>
  <c r="G47" i="8" a="1"/>
  <c r="G47" i="8" s="1"/>
  <c r="G45" i="8" a="1"/>
  <c r="G45" i="8" s="1"/>
  <c r="G43" i="8" a="1"/>
  <c r="G43" i="8" s="1"/>
  <c r="G41" i="8" a="1"/>
  <c r="G41" i="8" s="1"/>
  <c r="G39" i="8" a="1"/>
  <c r="G39" i="8" s="1"/>
  <c r="G37" i="8" a="1"/>
  <c r="G37" i="8" s="1"/>
  <c r="G35" i="8" a="1"/>
  <c r="G35" i="8" s="1"/>
  <c r="H33" i="8" a="1"/>
  <c r="H33" i="8" s="1"/>
  <c r="AB117" i="19" a="1"/>
  <c r="AB117" i="19" s="1"/>
  <c r="AB115" i="19" a="1"/>
  <c r="AB115" i="19" s="1"/>
  <c r="AB113" i="19" a="1"/>
  <c r="AB113" i="19" s="1"/>
  <c r="AB111" i="19" a="1"/>
  <c r="AB111" i="19" s="1"/>
  <c r="AB109" i="19" a="1"/>
  <c r="AB109" i="19" s="1"/>
  <c r="AB107" i="19" a="1"/>
  <c r="AB107" i="19" s="1"/>
  <c r="AB105" i="19" a="1"/>
  <c r="AB105" i="19" s="1"/>
  <c r="AC101" i="19" a="1"/>
  <c r="AC101" i="19" s="1"/>
  <c r="AC99" i="19" a="1"/>
  <c r="AC99" i="19" s="1"/>
  <c r="AC97" i="19" a="1"/>
  <c r="AC97" i="19" s="1"/>
  <c r="AC95" i="19" a="1"/>
  <c r="AC95" i="19" s="1"/>
  <c r="AC93" i="19" a="1"/>
  <c r="AC93" i="19" s="1"/>
  <c r="AC91" i="19" a="1"/>
  <c r="AC91" i="19" s="1"/>
  <c r="AC89" i="19" a="1"/>
  <c r="AC89" i="19" s="1"/>
  <c r="AC87" i="19" a="1"/>
  <c r="AC87" i="19" s="1"/>
  <c r="AC85" i="19" a="1"/>
  <c r="AC85" i="19" s="1"/>
  <c r="AC83" i="19" a="1"/>
  <c r="AC83" i="19" s="1"/>
  <c r="AC81" i="19" a="1"/>
  <c r="AC81" i="19" s="1"/>
  <c r="AC79" i="19" a="1"/>
  <c r="AC79" i="19" s="1"/>
  <c r="Z76" i="19" a="1"/>
  <c r="Z76" i="19" s="1"/>
  <c r="Z74" i="19" a="1"/>
  <c r="Z74" i="19" s="1"/>
  <c r="Z72" i="19" a="1"/>
  <c r="Z72" i="19" s="1"/>
  <c r="Z70" i="19" a="1"/>
  <c r="Z70" i="19" s="1"/>
  <c r="Z68" i="19" a="1"/>
  <c r="Z68" i="19" s="1"/>
  <c r="Z66" i="19" a="1"/>
  <c r="Z66" i="19" s="1"/>
  <c r="AA62" i="19" a="1"/>
  <c r="AA62" i="19" s="1"/>
  <c r="AA60" i="19" a="1"/>
  <c r="AA60" i="19" s="1"/>
  <c r="AA58" i="19" a="1"/>
  <c r="AA58" i="19" s="1"/>
  <c r="AA56" i="19" a="1"/>
  <c r="AA56" i="19" s="1"/>
  <c r="AA54" i="19" a="1"/>
  <c r="AA54" i="19" s="1"/>
  <c r="AB52" i="19" a="1"/>
  <c r="AB52" i="19" s="1"/>
  <c r="AB50" i="19" a="1"/>
  <c r="AB50" i="19" s="1"/>
  <c r="AB48" i="19" a="1"/>
  <c r="AB48" i="19" s="1"/>
  <c r="AB46" i="19" a="1"/>
  <c r="AB46" i="19" s="1"/>
  <c r="AB44" i="19" a="1"/>
  <c r="AB44" i="19" s="1"/>
  <c r="AB42" i="19" a="1"/>
  <c r="AB42" i="19" s="1"/>
  <c r="AB40" i="19" a="1"/>
  <c r="AB40" i="19" s="1"/>
  <c r="AB38" i="19" a="1"/>
  <c r="AB38" i="19" s="1"/>
  <c r="AB36" i="19" a="1"/>
  <c r="AB36" i="19" s="1"/>
  <c r="G117" i="8" a="1"/>
  <c r="G117" i="8" s="1"/>
  <c r="G103" i="8" a="1"/>
  <c r="G103" i="8" s="1"/>
  <c r="G95" i="8" a="1"/>
  <c r="G95" i="8" s="1"/>
  <c r="G87" i="8" a="1"/>
  <c r="G87" i="8" s="1"/>
  <c r="G79" i="8" a="1"/>
  <c r="G79" i="8" s="1"/>
  <c r="G71" i="8" a="1"/>
  <c r="G71" i="8" s="1"/>
  <c r="G63" i="8" a="1"/>
  <c r="G63" i="8" s="1"/>
  <c r="G55" i="8" a="1"/>
  <c r="G55" i="8" s="1"/>
  <c r="H47" i="8" a="1"/>
  <c r="H47" i="8" s="1"/>
  <c r="H39" i="8" a="1"/>
  <c r="H39" i="8" s="1"/>
  <c r="AC117" i="19" a="1"/>
  <c r="AC117" i="19" s="1"/>
  <c r="AC109" i="19" a="1"/>
  <c r="AC109" i="19" s="1"/>
  <c r="Z102" i="19" a="1"/>
  <c r="Z102" i="19" s="1"/>
  <c r="Z94" i="19" a="1"/>
  <c r="Z94" i="19" s="1"/>
  <c r="Z86" i="19" a="1"/>
  <c r="Z86" i="19" s="1"/>
  <c r="Z78" i="19" a="1"/>
  <c r="Z78" i="19" s="1"/>
  <c r="AA70" i="19" a="1"/>
  <c r="AA70" i="19" s="1"/>
  <c r="AB62" i="19" a="1"/>
  <c r="AB62" i="19" s="1"/>
  <c r="AB54" i="19" a="1"/>
  <c r="AB54" i="19" s="1"/>
  <c r="Z48" i="19" a="1"/>
  <c r="Z48" i="19" s="1"/>
  <c r="AC42" i="19" a="1"/>
  <c r="AC42" i="19" s="1"/>
  <c r="Z37" i="19" a="1"/>
  <c r="Z37" i="19" s="1"/>
  <c r="AC34" i="19" a="1"/>
  <c r="AC34" i="19" s="1"/>
  <c r="AC32" i="19" a="1"/>
  <c r="AC32" i="19" s="1"/>
  <c r="G89" i="8" a="1"/>
  <c r="G89" i="8" s="1"/>
  <c r="AC103" i="19" a="1"/>
  <c r="AC103" i="19" s="1"/>
  <c r="AB56" i="19" a="1"/>
  <c r="AB56" i="19" s="1"/>
  <c r="G115" i="8" a="1"/>
  <c r="G115" i="8" s="1"/>
  <c r="H102" i="8" a="1"/>
  <c r="H102" i="8" s="1"/>
  <c r="H94" i="8" a="1"/>
  <c r="H94" i="8" s="1"/>
  <c r="H86" i="8" a="1"/>
  <c r="H86" i="8" s="1"/>
  <c r="H78" i="8" a="1"/>
  <c r="H78" i="8" s="1"/>
  <c r="H70" i="8" a="1"/>
  <c r="H70" i="8" s="1"/>
  <c r="H62" i="8" a="1"/>
  <c r="H62" i="8" s="1"/>
  <c r="I54" i="8" a="1"/>
  <c r="I54" i="8" s="1"/>
  <c r="I46" i="8" a="1"/>
  <c r="I46" i="8" s="1"/>
  <c r="I38" i="8" a="1"/>
  <c r="I38" i="8" s="1"/>
  <c r="Z117" i="19" a="1"/>
  <c r="Z117" i="19" s="1"/>
  <c r="Z109" i="19" a="1"/>
  <c r="Z109" i="19" s="1"/>
  <c r="AA101" i="19" a="1"/>
  <c r="AA101" i="19" s="1"/>
  <c r="AA93" i="19" a="1"/>
  <c r="AA93" i="19" s="1"/>
  <c r="AA85" i="19" a="1"/>
  <c r="AA85" i="19" s="1"/>
  <c r="AB77" i="19" a="1"/>
  <c r="AB77" i="19" s="1"/>
  <c r="AB69" i="19" a="1"/>
  <c r="AB69" i="19" s="1"/>
  <c r="AC61" i="19" a="1"/>
  <c r="AC61" i="19" s="1"/>
  <c r="Z54" i="19" a="1"/>
  <c r="Z54" i="19" s="1"/>
  <c r="Z47" i="19" a="1"/>
  <c r="Z47" i="19" s="1"/>
  <c r="Z42" i="19" a="1"/>
  <c r="Z42" i="19" s="1"/>
  <c r="AC36" i="19" a="1"/>
  <c r="AC36" i="19" s="1"/>
  <c r="AB34" i="19" a="1"/>
  <c r="AB34" i="19" s="1"/>
  <c r="AB32" i="19" a="1"/>
  <c r="AB32" i="19" s="1"/>
  <c r="G81" i="8" a="1"/>
  <c r="G81" i="8" s="1"/>
  <c r="Z96" i="19" a="1"/>
  <c r="Z96" i="19" s="1"/>
  <c r="Z44" i="19" a="1"/>
  <c r="Z44" i="19" s="1"/>
  <c r="G113" i="8" a="1"/>
  <c r="G113" i="8" s="1"/>
  <c r="G101" i="8" a="1"/>
  <c r="G101" i="8" s="1"/>
  <c r="G93" i="8" a="1"/>
  <c r="G93" i="8" s="1"/>
  <c r="G85" i="8" a="1"/>
  <c r="G85" i="8" s="1"/>
  <c r="G77" i="8" a="1"/>
  <c r="G77" i="8" s="1"/>
  <c r="G69" i="8" a="1"/>
  <c r="G69" i="8" s="1"/>
  <c r="G61" i="8" a="1"/>
  <c r="G61" i="8" s="1"/>
  <c r="H53" i="8" a="1"/>
  <c r="H53" i="8" s="1"/>
  <c r="H45" i="8" a="1"/>
  <c r="H45" i="8" s="1"/>
  <c r="H37" i="8" a="1"/>
  <c r="H37" i="8" s="1"/>
  <c r="AC115" i="19" a="1"/>
  <c r="AC115" i="19" s="1"/>
  <c r="AC107" i="19" a="1"/>
  <c r="AC107" i="19" s="1"/>
  <c r="Z100" i="19" a="1"/>
  <c r="Z100" i="19" s="1"/>
  <c r="Z92" i="19" a="1"/>
  <c r="Z92" i="19" s="1"/>
  <c r="Z84" i="19" a="1"/>
  <c r="Z84" i="19" s="1"/>
  <c r="AA76" i="19" a="1"/>
  <c r="AA76" i="19" s="1"/>
  <c r="AA68" i="19" a="1"/>
  <c r="AA68" i="19" s="1"/>
  <c r="AB60" i="19" a="1"/>
  <c r="AB60" i="19" s="1"/>
  <c r="AC52" i="19" a="1"/>
  <c r="AC52" i="19" s="1"/>
  <c r="AC46" i="19" a="1"/>
  <c r="AC46" i="19" s="1"/>
  <c r="Z41" i="19" a="1"/>
  <c r="Z41" i="19" s="1"/>
  <c r="AA36" i="19" a="1"/>
  <c r="AA36" i="19" s="1"/>
  <c r="AA34" i="19" a="1"/>
  <c r="AA34" i="19" s="1"/>
  <c r="AA32" i="19" a="1"/>
  <c r="AA32" i="19" s="1"/>
  <c r="G73" i="8" a="1"/>
  <c r="G73" i="8" s="1"/>
  <c r="H41" i="8" a="1"/>
  <c r="H41" i="8" s="1"/>
  <c r="AA72" i="19" a="1"/>
  <c r="AA72" i="19" s="1"/>
  <c r="AA33" i="19" a="1"/>
  <c r="AA33" i="19" s="1"/>
  <c r="G111" i="8" a="1"/>
  <c r="G111" i="8" s="1"/>
  <c r="H100" i="8" a="1"/>
  <c r="H100" i="8" s="1"/>
  <c r="H92" i="8" a="1"/>
  <c r="H92" i="8" s="1"/>
  <c r="H84" i="8" a="1"/>
  <c r="H84" i="8" s="1"/>
  <c r="H76" i="8" a="1"/>
  <c r="H76" i="8" s="1"/>
  <c r="H68" i="8" a="1"/>
  <c r="H68" i="8" s="1"/>
  <c r="H60" i="8" a="1"/>
  <c r="H60" i="8" s="1"/>
  <c r="I52" i="8" a="1"/>
  <c r="I52" i="8" s="1"/>
  <c r="I44" i="8" a="1"/>
  <c r="I44" i="8" s="1"/>
  <c r="I36" i="8" a="1"/>
  <c r="I36" i="8" s="1"/>
  <c r="Z115" i="19" a="1"/>
  <c r="Z115" i="19" s="1"/>
  <c r="Z107" i="19" a="1"/>
  <c r="Z107" i="19" s="1"/>
  <c r="AA99" i="19" a="1"/>
  <c r="AA99" i="19" s="1"/>
  <c r="AA91" i="19" a="1"/>
  <c r="AA91" i="19" s="1"/>
  <c r="AA83" i="19" a="1"/>
  <c r="AA83" i="19" s="1"/>
  <c r="AB75" i="19" a="1"/>
  <c r="AB75" i="19" s="1"/>
  <c r="AB67" i="19" a="1"/>
  <c r="AB67" i="19" s="1"/>
  <c r="AC59" i="19" a="1"/>
  <c r="AC59" i="19" s="1"/>
  <c r="Z52" i="19" a="1"/>
  <c r="Z52" i="19" s="1"/>
  <c r="Z46" i="19" a="1"/>
  <c r="Z46" i="19" s="1"/>
  <c r="AC40" i="19" a="1"/>
  <c r="AC40" i="19" s="1"/>
  <c r="Z36" i="19" a="1"/>
  <c r="Z36" i="19" s="1"/>
  <c r="Z34" i="19" a="1"/>
  <c r="Z34" i="19" s="1"/>
  <c r="Z32" i="19" a="1"/>
  <c r="Z32" i="19" s="1"/>
  <c r="G57" i="8" a="1"/>
  <c r="G57" i="8" s="1"/>
  <c r="G109" i="8" a="1"/>
  <c r="G109" i="8" s="1"/>
  <c r="G99" i="8" a="1"/>
  <c r="G99" i="8" s="1"/>
  <c r="G91" i="8" a="1"/>
  <c r="G91" i="8" s="1"/>
  <c r="G83" i="8" a="1"/>
  <c r="G83" i="8" s="1"/>
  <c r="G75" i="8" a="1"/>
  <c r="G75" i="8" s="1"/>
  <c r="G67" i="8" a="1"/>
  <c r="G67" i="8" s="1"/>
  <c r="G59" i="8" a="1"/>
  <c r="G59" i="8" s="1"/>
  <c r="H51" i="8" a="1"/>
  <c r="H51" i="8" s="1"/>
  <c r="H43" i="8" a="1"/>
  <c r="H43" i="8" s="1"/>
  <c r="H35" i="8" a="1"/>
  <c r="H35" i="8" s="1"/>
  <c r="AC113" i="19" a="1"/>
  <c r="AC113" i="19" s="1"/>
  <c r="AC105" i="19" a="1"/>
  <c r="AC105" i="19" s="1"/>
  <c r="Z98" i="19" a="1"/>
  <c r="Z98" i="19" s="1"/>
  <c r="Z90" i="19" a="1"/>
  <c r="Z90" i="19" s="1"/>
  <c r="Z82" i="19" a="1"/>
  <c r="Z82" i="19" s="1"/>
  <c r="AA74" i="19" a="1"/>
  <c r="AA74" i="19" s="1"/>
  <c r="AA66" i="19" a="1"/>
  <c r="AA66" i="19" s="1"/>
  <c r="AB58" i="19" a="1"/>
  <c r="AB58" i="19" s="1"/>
  <c r="AC50" i="19" a="1"/>
  <c r="AC50" i="19" s="1"/>
  <c r="Z45" i="19" a="1"/>
  <c r="Z45" i="19" s="1"/>
  <c r="Z40" i="19" a="1"/>
  <c r="Z40" i="19" s="1"/>
  <c r="AC35" i="19" a="1"/>
  <c r="AC35" i="19" s="1"/>
  <c r="AC33" i="19" a="1"/>
  <c r="AC33" i="19" s="1"/>
  <c r="AC31" i="19" a="1"/>
  <c r="AC31" i="19" s="1"/>
  <c r="G97" i="8" a="1"/>
  <c r="G97" i="8" s="1"/>
  <c r="AC111" i="19" a="1"/>
  <c r="AC111" i="19" s="1"/>
  <c r="AA64" i="19" a="1"/>
  <c r="AA64" i="19" s="1"/>
  <c r="AC38" i="19" a="1"/>
  <c r="AC38" i="19" s="1"/>
  <c r="G107" i="8" a="1"/>
  <c r="G107" i="8" s="1"/>
  <c r="H98" i="8" a="1"/>
  <c r="H98" i="8" s="1"/>
  <c r="H90" i="8" a="1"/>
  <c r="H90" i="8" s="1"/>
  <c r="H82" i="8" a="1"/>
  <c r="H82" i="8" s="1"/>
  <c r="H74" i="8" a="1"/>
  <c r="H74" i="8" s="1"/>
  <c r="H66" i="8" a="1"/>
  <c r="H66" i="8" s="1"/>
  <c r="H58" i="8" a="1"/>
  <c r="H58" i="8" s="1"/>
  <c r="I50" i="8" a="1"/>
  <c r="I50" i="8" s="1"/>
  <c r="I42" i="8" a="1"/>
  <c r="I42" i="8" s="1"/>
  <c r="I34" i="8" a="1"/>
  <c r="I34" i="8" s="1"/>
  <c r="Z113" i="19" a="1"/>
  <c r="Z113" i="19" s="1"/>
  <c r="Z105" i="19" a="1"/>
  <c r="Z105" i="19" s="1"/>
  <c r="AA97" i="19" a="1"/>
  <c r="AA97" i="19" s="1"/>
  <c r="AA89" i="19" a="1"/>
  <c r="AA89" i="19" s="1"/>
  <c r="AA81" i="19" a="1"/>
  <c r="AA81" i="19" s="1"/>
  <c r="AB73" i="19" a="1"/>
  <c r="AB73" i="19" s="1"/>
  <c r="AB65" i="19" a="1"/>
  <c r="AB65" i="19" s="1"/>
  <c r="AC57" i="19" a="1"/>
  <c r="AC57" i="19" s="1"/>
  <c r="Z50" i="19" a="1"/>
  <c r="Z50" i="19" s="1"/>
  <c r="AC44" i="19" a="1"/>
  <c r="AC44" i="19" s="1"/>
  <c r="Z39" i="19" a="1"/>
  <c r="Z39" i="19" s="1"/>
  <c r="AB35" i="19" a="1"/>
  <c r="AB35" i="19" s="1"/>
  <c r="AB33" i="19" a="1"/>
  <c r="AB33" i="19" s="1"/>
  <c r="AB31" i="19" a="1"/>
  <c r="AB31" i="19" s="1"/>
  <c r="G105" i="8" a="1"/>
  <c r="G105" i="8" s="1"/>
  <c r="Z80" i="19" a="1"/>
  <c r="Z80" i="19" s="1"/>
  <c r="AA35" i="19" a="1"/>
  <c r="AA35" i="19" s="1"/>
  <c r="H104" i="8" a="1"/>
  <c r="H104" i="8" s="1"/>
  <c r="H96" i="8" a="1"/>
  <c r="H96" i="8" s="1"/>
  <c r="H88" i="8" a="1"/>
  <c r="H88" i="8" s="1"/>
  <c r="H80" i="8" a="1"/>
  <c r="H80" i="8" s="1"/>
  <c r="H72" i="8" a="1"/>
  <c r="H72" i="8" s="1"/>
  <c r="H64" i="8" a="1"/>
  <c r="H64" i="8" s="1"/>
  <c r="H56" i="8" a="1"/>
  <c r="H56" i="8" s="1"/>
  <c r="I48" i="8" a="1"/>
  <c r="I48" i="8" s="1"/>
  <c r="I40" i="8" a="1"/>
  <c r="I40" i="8" s="1"/>
  <c r="F33" i="8" a="1"/>
  <c r="F33" i="8" s="1"/>
  <c r="Z111" i="19" a="1"/>
  <c r="Z111" i="19" s="1"/>
  <c r="AA103" i="19" a="1"/>
  <c r="AA103" i="19" s="1"/>
  <c r="AA95" i="19" a="1"/>
  <c r="AA95" i="19" s="1"/>
  <c r="AA87" i="19" a="1"/>
  <c r="AA87" i="19" s="1"/>
  <c r="AA79" i="19" a="1"/>
  <c r="AA79" i="19" s="1"/>
  <c r="AB71" i="19" a="1"/>
  <c r="AB71" i="19" s="1"/>
  <c r="AC63" i="19" a="1"/>
  <c r="AC63" i="19" s="1"/>
  <c r="AC55" i="19" a="1"/>
  <c r="AC55" i="19" s="1"/>
  <c r="AC48" i="19" a="1"/>
  <c r="AC48" i="19" s="1"/>
  <c r="Z43" i="19" a="1"/>
  <c r="Z43" i="19" s="1"/>
  <c r="Z38" i="19" a="1"/>
  <c r="Z38" i="19" s="1"/>
  <c r="Z35" i="19" a="1"/>
  <c r="Z35" i="19" s="1"/>
  <c r="Z33" i="19" a="1"/>
  <c r="Z33" i="19" s="1"/>
  <c r="Z31" i="19" a="1"/>
  <c r="Z31" i="19" s="1"/>
  <c r="G65" i="8" a="1"/>
  <c r="G65" i="8" s="1"/>
  <c r="H49" i="8" a="1"/>
  <c r="H49" i="8" s="1"/>
  <c r="Z88" i="19" a="1"/>
  <c r="Z88" i="19" s="1"/>
  <c r="Z49" i="19" a="1"/>
  <c r="Z49" i="19" s="1"/>
  <c r="AA31" i="19" a="1"/>
  <c r="AA31" i="19" s="1"/>
  <c r="FP9" i="13"/>
  <c r="FP15" i="13"/>
  <c r="FP14" i="13" s="1"/>
  <c r="GF9" i="13"/>
  <c r="GF15" i="13"/>
  <c r="GF14" i="13" s="1"/>
  <c r="ER9" i="13"/>
  <c r="ER15" i="13"/>
  <c r="ER14" i="13" s="1"/>
  <c r="GN9" i="13"/>
  <c r="GN15" i="13"/>
  <c r="GN14" i="13" s="1"/>
  <c r="GV9" i="13"/>
  <c r="GV15" i="13"/>
  <c r="GV14" i="13" s="1"/>
  <c r="EZ9" i="13"/>
  <c r="EZ15" i="13"/>
  <c r="EZ14" i="13" s="1"/>
  <c r="EJ9" i="13"/>
  <c r="EJ15" i="13"/>
  <c r="EJ14" i="13" s="1"/>
  <c r="FH9" i="13"/>
  <c r="FH15" i="13"/>
  <c r="FH14" i="13" s="1"/>
  <c r="FX9" i="13"/>
  <c r="FX15" i="13"/>
  <c r="FX14" i="13" s="1"/>
  <c r="ED11" i="13"/>
  <c r="CO21" i="13" s="1"/>
  <c r="CO39" i="13"/>
  <c r="CO33" i="13"/>
  <c r="CN30" i="13"/>
  <c r="CN24" i="13"/>
  <c r="BU29" i="13"/>
  <c r="BU30" i="13"/>
  <c r="GL123" i="13"/>
  <c r="FV118" i="13"/>
  <c r="GD123" i="13"/>
  <c r="EX125" i="13"/>
  <c r="DZ121" i="13"/>
  <c r="GD124" i="13"/>
  <c r="GT115" i="13"/>
  <c r="EH132" i="13"/>
  <c r="EP113" i="13"/>
  <c r="EX117" i="13"/>
  <c r="GL113" i="13"/>
  <c r="GD117" i="13"/>
  <c r="GD129" i="13"/>
  <c r="FF137" i="13"/>
  <c r="EP125" i="13"/>
  <c r="EX30" i="13"/>
  <c r="GL29" i="13"/>
  <c r="FF118" i="13"/>
  <c r="EH113" i="13"/>
  <c r="GL121" i="13"/>
  <c r="DZ30" i="13"/>
  <c r="GD114" i="13"/>
  <c r="EH114" i="13"/>
  <c r="DZ134" i="13"/>
  <c r="EX127" i="13"/>
  <c r="EX136" i="13"/>
  <c r="GD136" i="13"/>
  <c r="FN119" i="13"/>
  <c r="EH125" i="13"/>
  <c r="EP131" i="13"/>
  <c r="FV117" i="13"/>
  <c r="GT134" i="13"/>
  <c r="FF130" i="13"/>
  <c r="EX129" i="13"/>
  <c r="GD120" i="13"/>
  <c r="EH126" i="13"/>
  <c r="FN29" i="13"/>
  <c r="EP30" i="13"/>
  <c r="GT131" i="13"/>
  <c r="EP137" i="13"/>
  <c r="EH137" i="13"/>
  <c r="GT129" i="13"/>
  <c r="EH29" i="13"/>
  <c r="GD118" i="13"/>
  <c r="GL135" i="13"/>
  <c r="EP114" i="13"/>
  <c r="DZ116" i="13"/>
  <c r="EH123" i="13"/>
  <c r="FN136" i="13"/>
  <c r="GL119" i="13"/>
  <c r="EP132" i="13"/>
  <c r="DZ125" i="13"/>
  <c r="EP123" i="13"/>
  <c r="FV130" i="13"/>
  <c r="GD130" i="13"/>
  <c r="EP121" i="13"/>
  <c r="GD116" i="13"/>
  <c r="FN129" i="13"/>
  <c r="EH128" i="13"/>
  <c r="GL131" i="13"/>
  <c r="EH122" i="13"/>
  <c r="FV136" i="13"/>
  <c r="EX122" i="13"/>
  <c r="GD133" i="13"/>
  <c r="EP117" i="13"/>
  <c r="EX124" i="13"/>
  <c r="EH121" i="13"/>
  <c r="EX135" i="13"/>
  <c r="FV135" i="13"/>
  <c r="EH120" i="13"/>
  <c r="DZ130" i="13"/>
  <c r="DZ123" i="13"/>
  <c r="GL132" i="13"/>
  <c r="FF115" i="13"/>
  <c r="DZ133" i="13"/>
  <c r="EP118" i="13"/>
  <c r="FV122" i="13"/>
  <c r="FN117" i="13"/>
  <c r="GT126" i="13"/>
  <c r="EX116" i="13"/>
  <c r="FV121" i="13"/>
  <c r="DZ118" i="13"/>
  <c r="EP29" i="13"/>
  <c r="GD135" i="13"/>
  <c r="FN124" i="13"/>
  <c r="EH133" i="13"/>
  <c r="FV116" i="13"/>
  <c r="EH130" i="13"/>
  <c r="FN123" i="13"/>
  <c r="FN118" i="13"/>
  <c r="DZ119" i="13"/>
  <c r="DZ122" i="13"/>
  <c r="FN132" i="13"/>
  <c r="FV124" i="13"/>
  <c r="FV115" i="13"/>
  <c r="EH127" i="13"/>
  <c r="DZ128" i="13"/>
  <c r="GT113" i="13"/>
  <c r="GD126" i="13"/>
  <c r="FV129" i="13"/>
  <c r="GT120" i="13"/>
  <c r="GT133" i="13"/>
  <c r="EH117" i="13"/>
  <c r="GD29" i="13"/>
  <c r="GD30" i="13"/>
  <c r="GL114" i="13"/>
  <c r="EH119" i="13"/>
  <c r="EH116" i="13"/>
  <c r="FV120" i="13"/>
  <c r="EH30" i="13"/>
  <c r="FV127" i="13"/>
  <c r="FV114" i="13"/>
  <c r="EH129" i="13"/>
  <c r="FN133" i="13"/>
  <c r="DZ136" i="13"/>
  <c r="EP119" i="13"/>
  <c r="GT119" i="13"/>
  <c r="GT136" i="13"/>
  <c r="DZ115" i="13"/>
  <c r="GL126" i="13"/>
  <c r="EP134" i="13"/>
  <c r="GL134" i="13"/>
  <c r="FV133" i="13"/>
  <c r="GL133" i="13"/>
  <c r="EX120" i="13"/>
  <c r="FN30" i="13"/>
  <c r="FV123" i="13"/>
  <c r="DZ129" i="13"/>
  <c r="FF132" i="13"/>
  <c r="GD122" i="13"/>
  <c r="FN126" i="13"/>
  <c r="GT132" i="13"/>
  <c r="EX134" i="13"/>
  <c r="FN121" i="13"/>
  <c r="EX115" i="13"/>
  <c r="EP133" i="13"/>
  <c r="EX114" i="13"/>
  <c r="EP135" i="13"/>
  <c r="DZ132" i="13"/>
  <c r="FN125" i="13"/>
  <c r="FF136" i="13"/>
  <c r="FF128" i="13"/>
  <c r="EX128" i="13"/>
  <c r="EP129" i="13"/>
  <c r="DZ135" i="13"/>
  <c r="FV134" i="13"/>
  <c r="GL122" i="13"/>
  <c r="GL137" i="13"/>
  <c r="FF129" i="13"/>
  <c r="FV125" i="13"/>
  <c r="DZ120" i="13"/>
  <c r="FV29" i="13"/>
  <c r="EH135" i="13"/>
  <c r="GL115" i="13"/>
  <c r="EP122" i="13"/>
  <c r="GL125" i="13"/>
  <c r="FN114" i="13"/>
  <c r="FF123" i="13"/>
  <c r="GT118" i="13"/>
  <c r="EH131" i="13"/>
  <c r="EP126" i="13"/>
  <c r="FN128" i="13"/>
  <c r="EX132" i="13"/>
  <c r="GL124" i="13"/>
  <c r="FF133" i="13"/>
  <c r="EX126" i="13"/>
  <c r="GL117" i="13"/>
  <c r="GL130" i="13"/>
  <c r="GL116" i="13"/>
  <c r="FN116" i="13"/>
  <c r="GT137" i="13"/>
  <c r="EP127" i="13"/>
  <c r="FV30" i="13"/>
  <c r="EX123" i="13"/>
  <c r="FN131" i="13"/>
  <c r="FF119" i="13"/>
  <c r="FV126" i="13"/>
  <c r="GL129" i="13"/>
  <c r="EP136" i="13"/>
  <c r="FN135" i="13"/>
  <c r="GD127" i="13"/>
  <c r="FF113" i="13"/>
  <c r="DZ124" i="13"/>
  <c r="EP115" i="13"/>
  <c r="GT124" i="13"/>
  <c r="FV128" i="13"/>
  <c r="EX133" i="13"/>
  <c r="DZ114" i="13"/>
  <c r="GD134" i="13"/>
  <c r="FF117" i="13"/>
  <c r="EX137" i="13"/>
  <c r="GD121" i="13"/>
  <c r="GD137" i="13"/>
  <c r="EX118" i="13"/>
  <c r="GT29" i="13"/>
  <c r="GT114" i="13"/>
  <c r="FF126" i="13"/>
  <c r="EP130" i="13"/>
  <c r="EH134" i="13"/>
  <c r="FF30" i="13"/>
  <c r="FN130" i="13"/>
  <c r="FF127" i="13"/>
  <c r="GT135" i="13"/>
  <c r="GL127" i="13"/>
  <c r="EH118" i="13"/>
  <c r="DZ131" i="13"/>
  <c r="GD119" i="13"/>
  <c r="GD115" i="13"/>
  <c r="FV132" i="13"/>
  <c r="FF120" i="13"/>
  <c r="DZ126" i="13"/>
  <c r="GT117" i="13"/>
  <c r="GT130" i="13"/>
  <c r="FN137" i="13"/>
  <c r="GT116" i="13"/>
  <c r="FF116" i="13"/>
  <c r="EX130" i="13"/>
  <c r="GL30" i="13"/>
  <c r="FN120" i="13"/>
  <c r="EX119" i="13"/>
  <c r="FV113" i="13"/>
  <c r="EH115" i="13"/>
  <c r="FN127" i="13"/>
  <c r="FF131" i="13"/>
  <c r="GT127" i="13"/>
  <c r="EX113" i="13"/>
  <c r="DZ113" i="13"/>
  <c r="GD128" i="13"/>
  <c r="EP128" i="13"/>
  <c r="GL128" i="13"/>
  <c r="EP120" i="13"/>
  <c r="FN122" i="13"/>
  <c r="GT122" i="13"/>
  <c r="FN113" i="13"/>
  <c r="EX121" i="13"/>
  <c r="FF121" i="13"/>
  <c r="EP116" i="13"/>
  <c r="FF29" i="13"/>
  <c r="EX29" i="13"/>
  <c r="FF114" i="13"/>
  <c r="DZ117" i="13"/>
  <c r="GD132" i="13"/>
  <c r="FF122" i="13"/>
  <c r="EX131" i="13"/>
  <c r="GT123" i="13"/>
  <c r="FV131" i="13"/>
  <c r="FF135" i="13"/>
  <c r="EP124" i="13"/>
  <c r="DZ137" i="13"/>
  <c r="FF124" i="13"/>
  <c r="GL136" i="13"/>
  <c r="GT128" i="13"/>
  <c r="FF125" i="13"/>
  <c r="EH124" i="13"/>
  <c r="FF134" i="13"/>
  <c r="GD113" i="13"/>
  <c r="GD125" i="13"/>
  <c r="FV137" i="13"/>
  <c r="GT125" i="13"/>
  <c r="DZ127" i="13"/>
  <c r="DZ29" i="13"/>
  <c r="GD131" i="13"/>
  <c r="FV119" i="13"/>
  <c r="EH136" i="13"/>
  <c r="GT121" i="13"/>
  <c r="GL118" i="13"/>
  <c r="FN115" i="13"/>
  <c r="FN134" i="13"/>
  <c r="GT30" i="13"/>
  <c r="GL120" i="13"/>
  <c r="HH115" i="13" l="1"/>
  <c r="HH128" i="13"/>
  <c r="HI127" i="13"/>
  <c r="HJ130" i="13"/>
  <c r="HH121" i="13"/>
  <c r="HG127" i="13"/>
  <c r="HH117" i="13"/>
  <c r="HG120" i="13"/>
  <c r="HJ131" i="13"/>
  <c r="HJ118" i="13"/>
  <c r="HH126" i="13"/>
  <c r="HG118" i="13"/>
  <c r="HL126" i="13"/>
  <c r="HJ120" i="13"/>
  <c r="HI116" i="13"/>
  <c r="HI125" i="13"/>
  <c r="HO125" i="13"/>
  <c r="HL129" i="13"/>
  <c r="HP137" i="13"/>
  <c r="HK116" i="13"/>
  <c r="HN133" i="13"/>
  <c r="HP125" i="13"/>
  <c r="HP133" i="13"/>
  <c r="HM125" i="13"/>
  <c r="HO129" i="13"/>
  <c r="HN137" i="13"/>
  <c r="HN120" i="13"/>
  <c r="HM121" i="13"/>
  <c r="HL121" i="13"/>
  <c r="HO133" i="13"/>
  <c r="HK121" i="13"/>
  <c r="HK137" i="13"/>
  <c r="HM116" i="13"/>
  <c r="HN116" i="13"/>
  <c r="HL116" i="13"/>
  <c r="HP116" i="13"/>
  <c r="HP121" i="13"/>
  <c r="HM137" i="13"/>
  <c r="HP120" i="13"/>
  <c r="HK129" i="13"/>
  <c r="HM120" i="13"/>
  <c r="HN121" i="13"/>
  <c r="HJ129" i="13"/>
  <c r="HJ116" i="13"/>
  <c r="HO120" i="13"/>
  <c r="HM133" i="13"/>
  <c r="HJ121" i="13"/>
  <c r="HN129" i="13"/>
  <c r="HO121" i="13"/>
  <c r="HI121" i="13"/>
  <c r="HO116" i="13"/>
  <c r="HL137" i="13"/>
  <c r="HP129" i="13"/>
  <c r="HN125" i="13"/>
  <c r="HM129" i="13"/>
  <c r="HO137" i="13"/>
  <c r="HH134" i="13"/>
  <c r="HJ137" i="13"/>
  <c r="HK130" i="13"/>
  <c r="HP126" i="13"/>
  <c r="HL134" i="13"/>
  <c r="HO134" i="13"/>
  <c r="HL113" i="13"/>
  <c r="HN117" i="13"/>
  <c r="HM113" i="13"/>
  <c r="HN130" i="13"/>
  <c r="HO130" i="13"/>
  <c r="HP130" i="13"/>
  <c r="HK122" i="13"/>
  <c r="HN113" i="13"/>
  <c r="HN126" i="13"/>
  <c r="HO122" i="13"/>
  <c r="HN122" i="13"/>
  <c r="HK117" i="13"/>
  <c r="HP134" i="13"/>
  <c r="HL117" i="13"/>
  <c r="HL130" i="13"/>
  <c r="HI134" i="13"/>
  <c r="HP122" i="13"/>
  <c r="HO113" i="13"/>
  <c r="HI122" i="13"/>
  <c r="HM130" i="13"/>
  <c r="HO117" i="13"/>
  <c r="HP117" i="13"/>
  <c r="HJ122" i="13"/>
  <c r="HK134" i="13"/>
  <c r="HP113" i="13"/>
  <c r="HM134" i="13"/>
  <c r="HM126" i="13"/>
  <c r="HN134" i="13"/>
  <c r="HM117" i="13"/>
  <c r="HM122" i="13"/>
  <c r="HJ134" i="13"/>
  <c r="HO126" i="13"/>
  <c r="HL122" i="13"/>
  <c r="HJ117" i="13"/>
  <c r="HH133" i="13"/>
  <c r="HI123" i="13"/>
  <c r="HJ126" i="13"/>
  <c r="HG126" i="13"/>
  <c r="HH136" i="13"/>
  <c r="HH124" i="13"/>
  <c r="HG128" i="13"/>
  <c r="HG135" i="13"/>
  <c r="HH116" i="13"/>
  <c r="HG114" i="13"/>
  <c r="HI131" i="13"/>
  <c r="HI118" i="13"/>
  <c r="HJ124" i="13"/>
  <c r="HG115" i="13"/>
  <c r="HI120" i="13"/>
  <c r="HI113" i="13"/>
  <c r="HH113" i="13"/>
  <c r="HG125" i="13"/>
  <c r="HK133" i="13"/>
  <c r="HK120" i="13"/>
  <c r="HH137" i="13"/>
  <c r="HK125" i="13"/>
  <c r="HH127" i="13"/>
  <c r="HI129" i="13"/>
  <c r="HI130" i="13"/>
  <c r="HJ133" i="13"/>
  <c r="HH125" i="13"/>
  <c r="HG133" i="13"/>
  <c r="HL115" i="13"/>
  <c r="HP136" i="13"/>
  <c r="HO128" i="13"/>
  <c r="HH132" i="13"/>
  <c r="HJ119" i="13"/>
  <c r="HI132" i="13"/>
  <c r="HO124" i="13"/>
  <c r="HM132" i="13"/>
  <c r="HN132" i="13"/>
  <c r="HP128" i="13"/>
  <c r="HM115" i="13"/>
  <c r="HJ128" i="13"/>
  <c r="HK132" i="13"/>
  <c r="HM128" i="13"/>
  <c r="HL119" i="13"/>
  <c r="HK115" i="13"/>
  <c r="HJ115" i="13"/>
  <c r="HP119" i="13"/>
  <c r="HI128" i="13"/>
  <c r="HP115" i="13"/>
  <c r="HO115" i="13"/>
  <c r="HO119" i="13"/>
  <c r="HJ132" i="13"/>
  <c r="HN115" i="13"/>
  <c r="HM136" i="13"/>
  <c r="HO136" i="13"/>
  <c r="HM124" i="13"/>
  <c r="HK128" i="13"/>
  <c r="HK119" i="13"/>
  <c r="HP124" i="13"/>
  <c r="HN136" i="13"/>
  <c r="HO132" i="13"/>
  <c r="HP132" i="13"/>
  <c r="HI119" i="13"/>
  <c r="HN128" i="13"/>
  <c r="HN124" i="13"/>
  <c r="HL124" i="13"/>
  <c r="HL136" i="13"/>
  <c r="HL128" i="13"/>
  <c r="HN119" i="13"/>
  <c r="HM119" i="13"/>
  <c r="HK124" i="13"/>
  <c r="HL132" i="13"/>
  <c r="HK136" i="13"/>
  <c r="HH119" i="13"/>
  <c r="HI115" i="13"/>
  <c r="HJ136" i="13"/>
  <c r="HG123" i="13"/>
  <c r="HK118" i="13"/>
  <c r="HG136" i="13"/>
  <c r="HG113" i="13"/>
  <c r="HG121" i="13"/>
  <c r="HI117" i="13"/>
  <c r="HH123" i="13"/>
  <c r="HI126" i="13"/>
  <c r="HG131" i="13"/>
  <c r="HK126" i="13"/>
  <c r="HG137" i="13"/>
  <c r="HG122" i="13"/>
  <c r="HL125" i="13"/>
  <c r="HI137" i="13"/>
  <c r="HG124" i="13"/>
  <c r="HJ127" i="13"/>
  <c r="HG130" i="13"/>
  <c r="HL120" i="13"/>
  <c r="HL133" i="13"/>
  <c r="HJ113" i="13"/>
  <c r="HJ125" i="13"/>
  <c r="HG129" i="13"/>
  <c r="HG116" i="13"/>
  <c r="HH131" i="13"/>
  <c r="HH118" i="13"/>
  <c r="HG117" i="13"/>
  <c r="HI124" i="13"/>
  <c r="HG119" i="13"/>
  <c r="HG132" i="13"/>
  <c r="HH122" i="13"/>
  <c r="HK113" i="13"/>
  <c r="HG134" i="13"/>
  <c r="HH120" i="13"/>
  <c r="HH135" i="13"/>
  <c r="HH129" i="13"/>
  <c r="HP127" i="13"/>
  <c r="HN123" i="13"/>
  <c r="HL131" i="13"/>
  <c r="HI114" i="13"/>
  <c r="HP118" i="13"/>
  <c r="HO127" i="13"/>
  <c r="HN131" i="13"/>
  <c r="HK135" i="13"/>
  <c r="HL118" i="13"/>
  <c r="HI135" i="13"/>
  <c r="HO114" i="13"/>
  <c r="HN127" i="13"/>
  <c r="HH114" i="13"/>
  <c r="HM135" i="13"/>
  <c r="HP131" i="13"/>
  <c r="HM114" i="13"/>
  <c r="HK131" i="13"/>
  <c r="HM118" i="13"/>
  <c r="HP114" i="13"/>
  <c r="HO135" i="13"/>
  <c r="HK123" i="13"/>
  <c r="HP135" i="13"/>
  <c r="HN135" i="13"/>
  <c r="HM131" i="13"/>
  <c r="HL123" i="13"/>
  <c r="HJ114" i="13"/>
  <c r="HO118" i="13"/>
  <c r="HL135" i="13"/>
  <c r="HN114" i="13"/>
  <c r="HJ135" i="13"/>
  <c r="HM123" i="13"/>
  <c r="HM127" i="13"/>
  <c r="HL127" i="13"/>
  <c r="HO123" i="13"/>
  <c r="HK114" i="13"/>
  <c r="HN118" i="13"/>
  <c r="HL114" i="13"/>
  <c r="HK127" i="13"/>
  <c r="HO131" i="13"/>
  <c r="HP123" i="13"/>
  <c r="HH130" i="13"/>
  <c r="HI133" i="13"/>
  <c r="HJ123" i="13"/>
  <c r="HI136" i="13"/>
  <c r="DZ10" i="13"/>
  <c r="HG10" i="13" s="1"/>
  <c r="HH29" i="13"/>
  <c r="HL29" i="13"/>
  <c r="HP29" i="13"/>
  <c r="HM29" i="13"/>
  <c r="HH30" i="13"/>
  <c r="HO29" i="13"/>
  <c r="HK29" i="13"/>
  <c r="HM30" i="13"/>
  <c r="HP30" i="13"/>
  <c r="HL30" i="13"/>
  <c r="HJ30" i="13"/>
  <c r="HN30" i="13"/>
  <c r="HI30" i="13"/>
  <c r="HI29" i="13"/>
  <c r="HN29" i="13"/>
  <c r="HJ29" i="13"/>
  <c r="HO30" i="13"/>
  <c r="HG30" i="13"/>
  <c r="HG29" i="13"/>
  <c r="HK30" i="13"/>
  <c r="EH10" i="13"/>
  <c r="FN10" i="13"/>
  <c r="GT10" i="13"/>
  <c r="FV10" i="13"/>
  <c r="GL10" i="13"/>
  <c r="FF10" i="13"/>
  <c r="EP10" i="13"/>
  <c r="GD10" i="13"/>
  <c r="EX10" i="13"/>
  <c r="GL12" i="13"/>
  <c r="GT12" i="13"/>
  <c r="GD12" i="13"/>
  <c r="FV12" i="13"/>
  <c r="FN12" i="13"/>
  <c r="FF12" i="13"/>
  <c r="EP12" i="13"/>
  <c r="EH12" i="13"/>
  <c r="EX12" i="13"/>
  <c r="CN21" i="13"/>
  <c r="CN39" i="13"/>
  <c r="CO30" i="13"/>
  <c r="CN33" i="13"/>
  <c r="CO24" i="13"/>
  <c r="CO36" i="13"/>
  <c r="CN36" i="13"/>
  <c r="CO27" i="13"/>
  <c r="CN27" i="13"/>
  <c r="DZ15" i="13" l="1"/>
  <c r="CC6" i="13" s="1"/>
  <c r="EH11" i="13"/>
  <c r="HH11" i="13" s="1"/>
  <c r="HH12" i="13"/>
  <c r="GT11" i="13"/>
  <c r="HP11" i="13" s="1"/>
  <c r="HP12" i="13"/>
  <c r="GL11" i="13"/>
  <c r="HO11" i="13" s="1"/>
  <c r="HO12" i="13"/>
  <c r="FF11" i="13"/>
  <c r="HK11" i="13" s="1"/>
  <c r="HK12" i="13"/>
  <c r="FN11" i="13"/>
  <c r="HL11" i="13" s="1"/>
  <c r="HL12" i="13"/>
  <c r="EX11" i="13"/>
  <c r="HJ11" i="13" s="1"/>
  <c r="HJ12" i="13"/>
  <c r="FV11" i="13"/>
  <c r="HM11" i="13" s="1"/>
  <c r="HM12" i="13"/>
  <c r="EP11" i="13"/>
  <c r="HI11" i="13" s="1"/>
  <c r="HI12" i="13"/>
  <c r="GD11" i="13"/>
  <c r="HN11" i="13" s="1"/>
  <c r="HN12" i="13"/>
  <c r="FV9" i="13"/>
  <c r="HM9" i="13" s="1"/>
  <c r="HM10" i="13"/>
  <c r="HM15" i="13" s="1"/>
  <c r="GT9" i="13"/>
  <c r="HP9" i="13" s="1"/>
  <c r="HP10" i="13"/>
  <c r="HP15" i="13" s="1"/>
  <c r="FN9" i="13"/>
  <c r="HL9" i="13" s="1"/>
  <c r="HL10" i="13"/>
  <c r="HL15" i="13" s="1"/>
  <c r="EX9" i="13"/>
  <c r="HJ9" i="13" s="1"/>
  <c r="HJ10" i="13"/>
  <c r="HJ15" i="13" s="1"/>
  <c r="EH9" i="13"/>
  <c r="HH9" i="13" s="1"/>
  <c r="HH10" i="13"/>
  <c r="HH15" i="13" s="1"/>
  <c r="GD9" i="13"/>
  <c r="HN9" i="13" s="1"/>
  <c r="HN10" i="13"/>
  <c r="HN15" i="13" s="1"/>
  <c r="EP9" i="13"/>
  <c r="HI9" i="13" s="1"/>
  <c r="HI10" i="13"/>
  <c r="HI15" i="13" s="1"/>
  <c r="FF9" i="13"/>
  <c r="HK9" i="13" s="1"/>
  <c r="HK10" i="13"/>
  <c r="HK15" i="13" s="1"/>
  <c r="GL9" i="13"/>
  <c r="HO9" i="13" s="1"/>
  <c r="HO10" i="13"/>
  <c r="HO15" i="13" s="1"/>
  <c r="HG15" i="13"/>
  <c r="EP15" i="13"/>
  <c r="EP14" i="13" s="1"/>
  <c r="HI14" i="13" s="1"/>
  <c r="FN15" i="13"/>
  <c r="FN14" i="13" s="1"/>
  <c r="HL14" i="13" s="1"/>
  <c r="FV15" i="13"/>
  <c r="FV14" i="13" s="1"/>
  <c r="HM14" i="13" s="1"/>
  <c r="EH15" i="13"/>
  <c r="EH14" i="13" s="1"/>
  <c r="HH14" i="13" s="1"/>
  <c r="GT15" i="13"/>
  <c r="GT14" i="13" s="1"/>
  <c r="HP14" i="13" s="1"/>
  <c r="FF15" i="13"/>
  <c r="FF14" i="13" s="1"/>
  <c r="HK14" i="13" s="1"/>
  <c r="GD15" i="13"/>
  <c r="GD14" i="13" s="1"/>
  <c r="HN14" i="13" s="1"/>
  <c r="EX15" i="13"/>
  <c r="EX14" i="13" s="1"/>
  <c r="HJ14" i="13" s="1"/>
  <c r="GL15" i="13"/>
  <c r="GL14" i="13" s="1"/>
  <c r="HO14" i="13" s="1"/>
  <c r="DZ12" i="13"/>
  <c r="HG12" i="13" s="1"/>
  <c r="BS29" i="13"/>
  <c r="R5" i="1"/>
  <c r="R37" i="1" s="1"/>
  <c r="S5" i="1"/>
  <c r="S37" i="1" s="1"/>
  <c r="S8" i="21" s="1"/>
  <c r="T5" i="1"/>
  <c r="T37" i="1" s="1"/>
  <c r="CB48" i="13" l="1"/>
  <c r="CC48" i="13"/>
  <c r="BT29" i="13" l="1"/>
  <c r="CH48" i="13" l="1"/>
  <c r="CI48" i="13"/>
  <c r="CT48" i="13" l="1"/>
  <c r="CZ48" i="13" s="1"/>
  <c r="BV19" i="13"/>
  <c r="BV29" i="13"/>
  <c r="BW29" i="13" s="1"/>
  <c r="BU19" i="13"/>
  <c r="CU48" i="13" l="1"/>
  <c r="DA48" i="13" s="1"/>
  <c r="CT47" i="13"/>
  <c r="CU15" i="13"/>
  <c r="CT46" i="13"/>
  <c r="CU47" i="13"/>
  <c r="CU46" i="13"/>
  <c r="CO38" i="13"/>
  <c r="CN38" i="13"/>
  <c r="CO37" i="13"/>
  <c r="CO12" i="13"/>
  <c r="BN12" i="1" s="1"/>
  <c r="F15" i="21" s="1"/>
  <c r="CN37" i="13"/>
  <c r="BO12" i="1" l="1"/>
  <c r="N15" i="21" s="1"/>
  <c r="CI15" i="1"/>
  <c r="CH45" i="13"/>
  <c r="CI45" i="13"/>
  <c r="G18" i="21" l="1"/>
  <c r="CJ15" i="1" a="1"/>
  <c r="CJ15" i="1" s="1"/>
  <c r="O18" i="21" s="1"/>
  <c r="CH30" i="13"/>
  <c r="CI30" i="13"/>
  <c r="CB42" i="13" l="1"/>
  <c r="CC42" i="13"/>
  <c r="CH36" i="13" l="1"/>
  <c r="CI36" i="13"/>
  <c r="CH42" i="13" l="1"/>
  <c r="CI42" i="13"/>
  <c r="CC45" i="13" l="1"/>
  <c r="CB45" i="13"/>
  <c r="CC39" i="13" l="1"/>
  <c r="CB39" i="13"/>
  <c r="CC27" i="13" l="1"/>
  <c r="CB27" i="13"/>
  <c r="CB33" i="13" l="1"/>
  <c r="CC33" i="13"/>
  <c r="CB36" i="13" l="1"/>
  <c r="CC36" i="13"/>
  <c r="CB21" i="13" l="1"/>
  <c r="DZ11" i="13"/>
  <c r="CC21" i="13" l="1"/>
  <c r="CB30" i="13"/>
  <c r="CC30" i="13"/>
  <c r="CH39" i="13" l="1"/>
  <c r="CI39" i="13"/>
  <c r="CI33" i="13" l="1"/>
  <c r="CH33" i="13"/>
  <c r="BS30" i="13" l="1"/>
  <c r="CB24" i="13" l="1"/>
  <c r="CC24" i="13"/>
  <c r="CH27" i="13" l="1"/>
  <c r="CI27" i="13"/>
  <c r="CH24" i="13" l="1"/>
  <c r="CI24" i="13"/>
  <c r="BT30" i="13" l="1"/>
  <c r="EB11" i="13" l="1"/>
  <c r="CH21" i="13"/>
  <c r="CI21" i="13" l="1"/>
  <c r="BU21" i="13"/>
  <c r="BU23" i="13"/>
  <c r="BU22" i="13"/>
  <c r="BU128" i="13" l="1"/>
  <c r="BU53" i="13"/>
  <c r="BU35" i="13"/>
  <c r="BU131" i="13"/>
  <c r="BU82" i="13"/>
  <c r="BU37" i="13"/>
  <c r="BU39" i="13"/>
  <c r="BU66" i="13"/>
  <c r="BU71" i="13"/>
  <c r="BU96" i="13"/>
  <c r="BU52" i="13"/>
  <c r="BU45" i="13"/>
  <c r="BU88" i="13"/>
  <c r="BU43" i="13"/>
  <c r="BU112" i="13"/>
  <c r="BU26" i="13"/>
  <c r="BU103" i="13"/>
  <c r="BU32" i="13"/>
  <c r="BV36" i="13"/>
  <c r="BU40" i="13"/>
  <c r="BU58" i="13"/>
  <c r="BV70" i="13"/>
  <c r="BV68" i="13"/>
  <c r="BV71" i="13"/>
  <c r="BV38" i="13"/>
  <c r="BV44" i="13"/>
  <c r="BU61" i="13"/>
  <c r="BV35" i="13"/>
  <c r="BV41" i="13"/>
  <c r="BU48" i="13"/>
  <c r="BU50" i="13"/>
  <c r="BV59" i="13"/>
  <c r="BV47" i="13"/>
  <c r="BU63" i="13"/>
  <c r="BU51" i="13"/>
  <c r="BU60" i="13"/>
  <c r="BV100" i="13"/>
  <c r="BV58" i="13"/>
  <c r="BV48" i="13"/>
  <c r="BV73" i="13"/>
  <c r="BV64" i="13"/>
  <c r="BV52" i="13"/>
  <c r="BU67" i="13"/>
  <c r="BV82" i="13"/>
  <c r="BU97" i="13"/>
  <c r="BU98" i="13"/>
  <c r="BV40" i="13"/>
  <c r="BU41" i="13"/>
  <c r="BU38" i="13"/>
  <c r="BU42" i="13"/>
  <c r="BV55" i="13"/>
  <c r="BV66" i="13"/>
  <c r="BV60" i="13"/>
  <c r="BV86" i="13"/>
  <c r="BU81" i="13"/>
  <c r="BU46" i="13"/>
  <c r="BV74" i="13"/>
  <c r="BV63" i="13"/>
  <c r="BU76" i="13"/>
  <c r="BV72" i="13"/>
  <c r="BU49" i="13"/>
  <c r="BV76" i="13"/>
  <c r="BU72" i="13"/>
  <c r="BU73" i="13"/>
  <c r="BV83" i="13"/>
  <c r="BU80" i="13"/>
  <c r="BV53" i="13"/>
  <c r="BV46" i="13"/>
  <c r="BU54" i="13"/>
  <c r="BV37" i="13"/>
  <c r="BU62" i="13"/>
  <c r="BU92" i="13"/>
  <c r="BV49" i="13"/>
  <c r="BV61" i="13"/>
  <c r="BV78" i="13"/>
  <c r="BU44" i="13"/>
  <c r="BU56" i="13"/>
  <c r="BU65" i="13"/>
  <c r="BV79" i="13"/>
  <c r="BV84" i="13"/>
  <c r="BV98" i="13"/>
  <c r="BV51" i="13"/>
  <c r="BU64" i="13"/>
  <c r="BU69" i="13"/>
  <c r="BV57" i="13"/>
  <c r="BU33" i="13"/>
  <c r="BV42" i="13"/>
  <c r="BV119" i="13"/>
  <c r="BU89" i="13"/>
  <c r="BU55" i="13"/>
  <c r="BV77" i="13"/>
  <c r="BV34" i="13"/>
  <c r="BV69" i="13"/>
  <c r="BV91" i="13"/>
  <c r="BU24" i="13"/>
  <c r="BU102" i="13"/>
  <c r="BV87" i="13"/>
  <c r="BV88" i="13"/>
  <c r="BU99" i="13"/>
  <c r="BV43" i="13"/>
  <c r="BV39" i="13"/>
  <c r="BV81" i="13"/>
  <c r="BV136" i="13"/>
  <c r="BV118" i="13"/>
  <c r="BU57" i="13"/>
  <c r="BU83" i="13"/>
  <c r="BV95" i="13"/>
  <c r="BV30" i="13"/>
  <c r="BW30" i="13" s="1"/>
  <c r="BU79" i="13"/>
  <c r="BV67" i="13"/>
  <c r="BV45" i="13"/>
  <c r="BU87" i="13"/>
  <c r="BV99" i="13"/>
  <c r="BU47" i="13"/>
  <c r="BU90" i="13"/>
  <c r="BV54" i="13"/>
  <c r="BU75" i="13"/>
  <c r="BV89" i="13"/>
  <c r="BU85" i="13"/>
  <c r="BU59" i="13"/>
  <c r="BV75" i="13"/>
  <c r="BV62" i="13"/>
  <c r="BV123" i="13"/>
  <c r="BV80" i="13"/>
  <c r="BV50" i="13"/>
  <c r="BV96" i="13"/>
  <c r="BV104" i="13"/>
  <c r="BV26" i="13"/>
  <c r="BV132" i="13"/>
  <c r="BV93" i="13"/>
  <c r="BU84" i="13"/>
  <c r="BU93" i="13"/>
  <c r="BV117" i="13"/>
  <c r="BU114" i="13"/>
  <c r="BV112" i="13"/>
  <c r="BU36" i="13"/>
  <c r="BU78" i="13"/>
  <c r="BU94" i="13"/>
  <c r="BV111" i="13"/>
  <c r="BU132" i="13"/>
  <c r="BV134" i="13"/>
  <c r="BV115" i="13"/>
  <c r="BU95" i="13"/>
  <c r="BU121" i="13"/>
  <c r="BV103" i="13"/>
  <c r="BU68" i="13"/>
  <c r="BU77" i="13"/>
  <c r="BV92" i="13"/>
  <c r="BU101" i="13"/>
  <c r="BU27" i="13"/>
  <c r="BU74" i="13"/>
  <c r="BV94" i="13"/>
  <c r="BU104" i="13"/>
  <c r="BV105" i="13"/>
  <c r="BU125" i="13"/>
  <c r="BU86" i="13"/>
  <c r="BU105" i="13"/>
  <c r="BU108" i="13"/>
  <c r="BU130" i="13"/>
  <c r="BU119" i="13"/>
  <c r="BV90" i="13"/>
  <c r="CT30" i="13"/>
  <c r="CZ30" i="13" s="1"/>
  <c r="BV110" i="13"/>
  <c r="BU34" i="13"/>
  <c r="CU30" i="13"/>
  <c r="DA30" i="13" s="1"/>
  <c r="BU136" i="13"/>
  <c r="BV113" i="13"/>
  <c r="BV127" i="13"/>
  <c r="BV97" i="13"/>
  <c r="BU91" i="13"/>
  <c r="BU111" i="13"/>
  <c r="BV109" i="13"/>
  <c r="BU134" i="13"/>
  <c r="BU107" i="13"/>
  <c r="BU109" i="13"/>
  <c r="BV56" i="13"/>
  <c r="BU116" i="13"/>
  <c r="BV102" i="13"/>
  <c r="BV28" i="13"/>
  <c r="BV128" i="13"/>
  <c r="BU115" i="13"/>
  <c r="BU31" i="13"/>
  <c r="BV31" i="13"/>
  <c r="BU135" i="13"/>
  <c r="BU100" i="13"/>
  <c r="BU20" i="13"/>
  <c r="BV65" i="13"/>
  <c r="BU126" i="13"/>
  <c r="BU123" i="13"/>
  <c r="BV135" i="13"/>
  <c r="BU127" i="13"/>
  <c r="BV126" i="13"/>
  <c r="BV131" i="13"/>
  <c r="BV124" i="13"/>
  <c r="CT42" i="13"/>
  <c r="CZ42" i="13" s="1"/>
  <c r="BV116" i="13"/>
  <c r="BU124" i="13"/>
  <c r="BV25" i="13"/>
  <c r="BV106" i="13"/>
  <c r="CU42" i="13"/>
  <c r="DA42" i="13" s="1"/>
  <c r="BV24" i="13"/>
  <c r="BV121" i="13"/>
  <c r="BV130" i="13"/>
  <c r="BV120" i="13"/>
  <c r="BV133" i="13"/>
  <c r="BV122" i="13"/>
  <c r="BV22" i="13"/>
  <c r="BV114" i="13"/>
  <c r="BU70" i="13"/>
  <c r="BV108" i="13"/>
  <c r="BV101" i="13"/>
  <c r="BV129" i="13"/>
  <c r="BU25" i="13"/>
  <c r="BV21" i="13"/>
  <c r="BU117" i="13"/>
  <c r="BU122" i="13"/>
  <c r="BU106" i="13"/>
  <c r="BV107" i="13"/>
  <c r="BV125" i="13"/>
  <c r="BV20" i="13"/>
  <c r="BV85" i="13"/>
  <c r="BU118" i="13"/>
  <c r="BU28" i="13"/>
  <c r="BU110" i="13"/>
  <c r="BU137" i="13"/>
  <c r="BV23" i="13"/>
  <c r="BU113" i="13"/>
  <c r="BU120" i="13"/>
  <c r="BV137" i="13"/>
  <c r="CT36" i="13"/>
  <c r="CZ36" i="13" s="1"/>
  <c r="BU133" i="13"/>
  <c r="BU129" i="13"/>
  <c r="BV27" i="13"/>
  <c r="BV32" i="13"/>
  <c r="CU36" i="13"/>
  <c r="DA36" i="13" s="1"/>
  <c r="CT23" i="13" l="1"/>
  <c r="BV33" i="13"/>
  <c r="BV15" i="13" s="1"/>
  <c r="CT34" i="13"/>
  <c r="CU11" i="13"/>
  <c r="CI11" i="1" s="1"/>
  <c r="CU9" i="13"/>
  <c r="CI9" i="1" s="1"/>
  <c r="CT28" i="13"/>
  <c r="CT33" i="13"/>
  <c r="CZ33" i="13" s="1"/>
  <c r="CU33" i="13"/>
  <c r="DA33" i="13" s="1"/>
  <c r="CT35" i="13"/>
  <c r="CU6" i="13"/>
  <c r="CI6" i="1" s="1"/>
  <c r="CT19" i="13"/>
  <c r="CT29" i="13"/>
  <c r="CO7" i="13"/>
  <c r="BN7" i="1" s="1"/>
  <c r="F10" i="21" s="1"/>
  <c r="CO22" i="13"/>
  <c r="CN22" i="13"/>
  <c r="CU45" i="13"/>
  <c r="DA45" i="13" s="1"/>
  <c r="CT45" i="13"/>
  <c r="CZ45" i="13" s="1"/>
  <c r="CT20" i="13"/>
  <c r="CN35" i="13"/>
  <c r="CO35" i="13"/>
  <c r="CU43" i="13"/>
  <c r="CU44" i="13"/>
  <c r="CT40" i="13"/>
  <c r="CU13" i="13"/>
  <c r="BU15" i="13"/>
  <c r="BU13" i="13" s="1"/>
  <c r="CU14" i="13"/>
  <c r="CT43" i="13"/>
  <c r="CU32" i="13"/>
  <c r="CU31" i="13"/>
  <c r="CT41" i="13"/>
  <c r="EF11" i="13"/>
  <c r="CT21" i="13"/>
  <c r="CZ21" i="13" s="1"/>
  <c r="CU39" i="13"/>
  <c r="DA39" i="13" s="1"/>
  <c r="CT39" i="13"/>
  <c r="CZ39" i="13" s="1"/>
  <c r="ED9" i="13"/>
  <c r="CO20" i="13" s="1"/>
  <c r="CU27" i="13"/>
  <c r="DA27" i="13" s="1"/>
  <c r="CT27" i="13"/>
  <c r="CZ27" i="13" s="1"/>
  <c r="CU24" i="13"/>
  <c r="DA24" i="13" s="1"/>
  <c r="CT24" i="13"/>
  <c r="CZ24" i="13" s="1"/>
  <c r="CU10" i="13"/>
  <c r="CT31" i="13"/>
  <c r="CO6" i="13"/>
  <c r="BN6" i="1" s="1"/>
  <c r="F9" i="21" s="1"/>
  <c r="ED14" i="13"/>
  <c r="CO19" i="13" s="1"/>
  <c r="CN19" i="13"/>
  <c r="CO32" i="13"/>
  <c r="CN32" i="13"/>
  <c r="CU25" i="13"/>
  <c r="CU26" i="13"/>
  <c r="CO10" i="13"/>
  <c r="BN10" i="1" s="1"/>
  <c r="F13" i="21" s="1"/>
  <c r="CO31" i="13"/>
  <c r="CN31" i="13"/>
  <c r="CT32" i="13"/>
  <c r="CT26" i="13"/>
  <c r="CU37" i="13"/>
  <c r="CU41" i="13"/>
  <c r="CU40" i="13"/>
  <c r="CT44" i="13"/>
  <c r="CU38" i="13"/>
  <c r="CT38" i="13"/>
  <c r="CO9" i="13"/>
  <c r="BN9" i="1" s="1"/>
  <c r="F12" i="21" s="1"/>
  <c r="CN28" i="13"/>
  <c r="CO28" i="13"/>
  <c r="CU8" i="13"/>
  <c r="CT25" i="13"/>
  <c r="CN25" i="13"/>
  <c r="CO8" i="13"/>
  <c r="BN8" i="1" s="1"/>
  <c r="F11" i="21" s="1"/>
  <c r="CO25" i="13"/>
  <c r="CT37" i="13"/>
  <c r="CU12" i="13"/>
  <c r="CI12" i="1" s="1"/>
  <c r="CU35" i="13"/>
  <c r="CU34" i="13"/>
  <c r="CN29" i="13"/>
  <c r="CO29" i="13"/>
  <c r="EF9" i="13"/>
  <c r="CU20" i="13" s="1"/>
  <c r="EG15" i="13"/>
  <c r="BV14" i="13" s="1"/>
  <c r="BW14" i="13" s="1"/>
  <c r="CO26" i="13"/>
  <c r="CN26" i="13"/>
  <c r="CU28" i="13"/>
  <c r="CU29" i="13"/>
  <c r="CN23" i="13"/>
  <c r="CO23" i="13"/>
  <c r="CO11" i="13"/>
  <c r="BN11" i="1" s="1"/>
  <c r="F14" i="21" s="1"/>
  <c r="CN34" i="13"/>
  <c r="CO34" i="13"/>
  <c r="CU21" i="13" l="1"/>
  <c r="DA21" i="13" s="1"/>
  <c r="HG11" i="13"/>
  <c r="G9" i="21"/>
  <c r="G15" i="21"/>
  <c r="G12" i="21"/>
  <c r="G14" i="21"/>
  <c r="CJ11" i="1" a="1"/>
  <c r="CJ11" i="1" s="1"/>
  <c r="O14" i="21" s="1"/>
  <c r="BO11" i="1"/>
  <c r="N14" i="21" s="1"/>
  <c r="CI8" i="1"/>
  <c r="CI13" i="1"/>
  <c r="CJ12" i="1" s="1" a="1"/>
  <c r="CJ12" i="1" s="1"/>
  <c r="CI14" i="1"/>
  <c r="CI10" i="1"/>
  <c r="CJ9" i="1" s="1" a="1"/>
  <c r="CJ9" i="1" s="1"/>
  <c r="BO9" i="1"/>
  <c r="N12" i="21" s="1"/>
  <c r="BO7" i="1"/>
  <c r="N10" i="21" s="1"/>
  <c r="BO8" i="1"/>
  <c r="N11" i="21" s="1"/>
  <c r="BO6" i="1"/>
  <c r="N9" i="21" s="1"/>
  <c r="BO10" i="1"/>
  <c r="N13" i="21" s="1"/>
  <c r="CU23" i="13"/>
  <c r="EF14" i="13"/>
  <c r="CU19" i="13" s="1"/>
  <c r="BV13" i="13"/>
  <c r="CT22" i="13"/>
  <c r="CU22" i="13"/>
  <c r="CU7" i="13"/>
  <c r="G13" i="21" l="1"/>
  <c r="CJ10" i="1" a="1"/>
  <c r="CJ10" i="1" s="1"/>
  <c r="O13" i="21" s="1"/>
  <c r="G17" i="21"/>
  <c r="CJ14" i="1" a="1"/>
  <c r="CJ14" i="1" s="1"/>
  <c r="O17" i="21" s="1"/>
  <c r="G11" i="21"/>
  <c r="CJ8" i="1" a="1"/>
  <c r="CJ8" i="1" s="1"/>
  <c r="O11" i="21" s="1"/>
  <c r="G16" i="21"/>
  <c r="CJ13" i="1" a="1"/>
  <c r="CJ13" i="1" s="1"/>
  <c r="O16" i="21" s="1"/>
  <c r="O12" i="21"/>
  <c r="O15" i="21"/>
  <c r="CI7" i="1"/>
  <c r="BO16" i="1"/>
  <c r="G10" i="21" l="1"/>
  <c r="CJ7" i="1" a="1"/>
  <c r="CJ7" i="1" s="1"/>
  <c r="O10" i="21" s="1"/>
  <c r="CJ6" i="1" a="1"/>
  <c r="CJ6" i="1" s="1"/>
  <c r="O9" i="21" s="1"/>
  <c r="BW21" i="1"/>
  <c r="BY21" i="1" s="1"/>
  <c r="N19" i="21"/>
  <c r="BW28" i="1"/>
  <c r="BZ28" i="1" s="1"/>
  <c r="BW18" i="1"/>
  <c r="BX18" i="1" s="1"/>
  <c r="BW24" i="1"/>
  <c r="BX24" i="1" s="1"/>
  <c r="CB24" i="1"/>
  <c r="CB12" i="1"/>
  <c r="BW6" i="1"/>
  <c r="BY6" i="1" s="1"/>
  <c r="BW20" i="1"/>
  <c r="BX20" i="1" s="1"/>
  <c r="BW19" i="1"/>
  <c r="BZ19" i="1" s="1"/>
  <c r="CB25" i="1"/>
  <c r="BW10" i="1"/>
  <c r="BZ10" i="1" s="1"/>
  <c r="CB38" i="1"/>
  <c r="Q41" i="1" s="1"/>
  <c r="R12" i="21" s="1"/>
  <c r="BW7" i="1"/>
  <c r="BZ7" i="1" s="1"/>
  <c r="CB22" i="1"/>
  <c r="BW11" i="1"/>
  <c r="BZ11" i="1" s="1"/>
  <c r="BW27" i="1"/>
  <c r="BX27" i="1" s="1"/>
  <c r="CB18" i="1"/>
  <c r="CB27" i="1"/>
  <c r="CB7" i="1"/>
  <c r="CD7" i="1" s="1"/>
  <c r="CB21" i="1"/>
  <c r="CB17" i="1"/>
  <c r="CB26" i="1"/>
  <c r="CB10" i="1"/>
  <c r="CE10" i="1" s="1"/>
  <c r="CB20" i="1"/>
  <c r="CB29" i="1"/>
  <c r="CB14" i="1"/>
  <c r="BW30" i="1"/>
  <c r="BX30" i="1" s="1"/>
  <c r="BW23" i="1"/>
  <c r="BX23" i="1" s="1"/>
  <c r="CB6" i="1"/>
  <c r="CD6" i="1" s="1"/>
  <c r="BW13" i="1"/>
  <c r="BX13" i="1" s="1"/>
  <c r="BW25" i="1"/>
  <c r="BZ25" i="1" s="1"/>
  <c r="BW8" i="1"/>
  <c r="BY8" i="1" s="1"/>
  <c r="BW12" i="1"/>
  <c r="BZ12" i="1" s="1"/>
  <c r="BW15" i="1"/>
  <c r="BY15" i="1" s="1"/>
  <c r="CB28" i="1"/>
  <c r="CB11" i="1"/>
  <c r="CB30" i="1"/>
  <c r="CB23" i="1"/>
  <c r="CB15" i="1"/>
  <c r="CD15" i="1" s="1"/>
  <c r="BW26" i="1"/>
  <c r="BX26" i="1" s="1"/>
  <c r="BW14" i="1"/>
  <c r="BX14" i="1" s="1"/>
  <c r="CB8" i="1"/>
  <c r="CC8" i="1" s="1"/>
  <c r="CB9" i="1"/>
  <c r="CC9" i="1" s="1"/>
  <c r="CB19" i="1"/>
  <c r="BW17" i="1"/>
  <c r="BY17" i="1" s="1"/>
  <c r="CB13" i="1"/>
  <c r="CC13" i="1" s="1"/>
  <c r="BW16" i="1"/>
  <c r="BZ16" i="1" s="1"/>
  <c r="BW22" i="1"/>
  <c r="BZ22" i="1" s="1"/>
  <c r="CB16" i="1"/>
  <c r="CD16" i="1" s="1"/>
  <c r="BW9" i="1"/>
  <c r="BY9" i="1" s="1"/>
  <c r="BW29" i="1"/>
  <c r="BY29" i="1" s="1"/>
  <c r="CC11" i="1"/>
  <c r="CD11" i="1"/>
  <c r="CE11" i="1"/>
  <c r="CD12" i="1"/>
  <c r="CC12" i="1"/>
  <c r="CE12" i="1"/>
  <c r="CC15" i="1"/>
  <c r="CD14" i="1"/>
  <c r="CE14" i="1"/>
  <c r="CC14" i="1"/>
  <c r="CC17" i="1"/>
  <c r="CD17" i="1"/>
  <c r="CE17" i="1"/>
  <c r="CE18" i="1"/>
  <c r="CC18" i="1"/>
  <c r="CD18" i="1"/>
  <c r="CC20" i="1"/>
  <c r="CE20" i="1"/>
  <c r="CD20" i="1"/>
  <c r="CE19" i="1"/>
  <c r="CD19" i="1"/>
  <c r="CC19" i="1"/>
  <c r="BX21" i="1" l="1"/>
  <c r="BZ8" i="1"/>
  <c r="BZ21" i="1"/>
  <c r="BX28" i="1"/>
  <c r="BY28" i="1"/>
  <c r="BY18" i="1"/>
  <c r="BX8" i="1"/>
  <c r="BY24" i="1"/>
  <c r="BZ24" i="1"/>
  <c r="BY19" i="1"/>
  <c r="BZ27" i="1"/>
  <c r="BX19" i="1"/>
  <c r="BZ18" i="1"/>
  <c r="BY27" i="1"/>
  <c r="BY20" i="1"/>
  <c r="BY7" i="1"/>
  <c r="CC10" i="1"/>
  <c r="BY25" i="1"/>
  <c r="BX25" i="1"/>
  <c r="CD10" i="1"/>
  <c r="BZ13" i="1"/>
  <c r="BX6" i="1"/>
  <c r="CJ16" i="1"/>
  <c r="O19" i="21" s="1"/>
  <c r="BX11" i="1"/>
  <c r="BZ6" i="1"/>
  <c r="BY11" i="1"/>
  <c r="BX12" i="1"/>
  <c r="BZ20" i="1"/>
  <c r="BY12" i="1"/>
  <c r="BY23" i="1"/>
  <c r="BY30" i="1"/>
  <c r="CE7" i="1"/>
  <c r="BZ23" i="1"/>
  <c r="BZ30" i="1"/>
  <c r="CC7" i="1"/>
  <c r="BX10" i="1"/>
  <c r="BX7" i="1"/>
  <c r="BY10" i="1"/>
  <c r="BY16" i="1"/>
  <c r="BY26" i="1"/>
  <c r="CE15" i="1"/>
  <c r="BY14" i="1"/>
  <c r="CC6" i="1"/>
  <c r="CE6" i="1"/>
  <c r="BY13" i="1"/>
  <c r="CE8" i="1"/>
  <c r="CD8" i="1"/>
  <c r="BZ14" i="1"/>
  <c r="BX15" i="1"/>
  <c r="CE9" i="1"/>
  <c r="CD9" i="1"/>
  <c r="BZ15" i="1"/>
  <c r="BZ26" i="1"/>
  <c r="BX17" i="1"/>
  <c r="BZ17" i="1"/>
  <c r="CE16" i="1"/>
  <c r="CC16" i="1"/>
  <c r="BX16" i="1"/>
  <c r="BZ9" i="1"/>
  <c r="BX22" i="1"/>
  <c r="BZ29" i="1"/>
  <c r="BX29" i="1"/>
  <c r="CD13" i="1"/>
  <c r="CE13" i="1"/>
  <c r="BX9" i="1"/>
  <c r="BY22" i="1"/>
  <c r="CZ13" i="1"/>
  <c r="CX13" i="1"/>
  <c r="CY13" i="1"/>
  <c r="CY15" i="1"/>
  <c r="CZ15" i="1"/>
  <c r="CX15" i="1"/>
  <c r="CZ18" i="1"/>
  <c r="CX18" i="1"/>
  <c r="CY18" i="1"/>
  <c r="CY19" i="1"/>
  <c r="CX19" i="1"/>
  <c r="CZ19" i="1"/>
  <c r="CY12" i="1"/>
  <c r="CX12" i="1"/>
  <c r="CZ12" i="1"/>
  <c r="CY17" i="1"/>
  <c r="CX17" i="1"/>
  <c r="CZ17" i="1"/>
  <c r="CX20" i="1"/>
  <c r="CY20" i="1"/>
  <c r="CZ20" i="1"/>
  <c r="CX16" i="1"/>
  <c r="CY16" i="1"/>
  <c r="CZ16" i="1"/>
  <c r="CY14" i="1"/>
  <c r="CZ14" i="1"/>
  <c r="CX14" i="1"/>
  <c r="CX11" i="1"/>
  <c r="CY11" i="1"/>
  <c r="CZ11" i="1"/>
  <c r="CW20" i="1" l="1"/>
  <c r="CW17" i="1"/>
  <c r="CW12" i="1"/>
  <c r="CR9" i="1"/>
  <c r="CW16" i="1"/>
  <c r="CW26" i="1"/>
  <c r="CR24" i="1"/>
  <c r="CR30" i="1"/>
  <c r="CW30" i="1"/>
  <c r="CR13" i="1"/>
  <c r="CW19" i="1"/>
  <c r="CW6" i="1"/>
  <c r="CW18" i="1"/>
  <c r="CR16" i="1"/>
  <c r="CW24" i="1"/>
  <c r="CR11" i="1"/>
  <c r="CW25" i="1"/>
  <c r="CR12" i="1"/>
  <c r="CR15" i="1"/>
  <c r="CR26" i="1"/>
  <c r="CW15" i="1"/>
  <c r="CR21" i="1"/>
  <c r="CW8" i="1"/>
  <c r="CW10" i="1"/>
  <c r="CR20" i="1"/>
  <c r="CW21" i="1"/>
  <c r="CW13" i="1"/>
  <c r="CR14" i="1"/>
  <c r="CR17" i="1"/>
  <c r="CR22" i="1"/>
  <c r="CR8" i="1"/>
  <c r="CR23" i="1"/>
  <c r="CW11" i="1"/>
  <c r="CW23" i="1"/>
  <c r="CR6" i="1"/>
  <c r="CW7" i="1"/>
  <c r="CR27" i="1"/>
  <c r="CR25" i="1"/>
  <c r="CR10" i="1"/>
  <c r="CW28" i="1"/>
  <c r="CW27" i="1"/>
  <c r="CR29" i="1"/>
  <c r="CW9" i="1"/>
  <c r="CW38" i="1"/>
  <c r="Q42" i="1" s="1"/>
  <c r="R13" i="21" s="1"/>
  <c r="CR19" i="1"/>
  <c r="CW14" i="1"/>
  <c r="CR18" i="1"/>
  <c r="CR28" i="1"/>
  <c r="CR7" i="1"/>
  <c r="CW22" i="1"/>
  <c r="CW29" i="1"/>
  <c r="CC31" i="1"/>
  <c r="CC38" i="1" s="1"/>
  <c r="R41" i="1" s="1"/>
  <c r="CD31" i="1"/>
  <c r="CD38" i="1" s="1"/>
  <c r="S41" i="1" s="1"/>
  <c r="S12" i="21" s="1"/>
  <c r="CE31" i="1"/>
  <c r="CE38" i="1" s="1"/>
  <c r="T41" i="1" s="1"/>
  <c r="CT24" i="1" l="1"/>
  <c r="CU24" i="1"/>
  <c r="CS24" i="1"/>
  <c r="CZ8" i="1"/>
  <c r="CY8" i="1"/>
  <c r="CX8" i="1"/>
  <c r="CS25" i="1"/>
  <c r="CT25" i="1"/>
  <c r="CU25" i="1"/>
  <c r="CT22" i="1"/>
  <c r="CU22" i="1"/>
  <c r="CS22" i="1"/>
  <c r="CT21" i="1"/>
  <c r="CS21" i="1"/>
  <c r="CU21" i="1"/>
  <c r="CS16" i="1"/>
  <c r="CT16" i="1"/>
  <c r="CU16" i="1"/>
  <c r="CU18" i="1"/>
  <c r="CT18" i="1"/>
  <c r="CS18" i="1"/>
  <c r="CS17" i="1"/>
  <c r="CT17" i="1"/>
  <c r="CU17" i="1"/>
  <c r="CT14" i="1"/>
  <c r="CS14" i="1"/>
  <c r="CU14" i="1"/>
  <c r="CZ6" i="1"/>
  <c r="CX6" i="1"/>
  <c r="CY6" i="1"/>
  <c r="CT9" i="1"/>
  <c r="CU9" i="1"/>
  <c r="CS9" i="1"/>
  <c r="CT27" i="1"/>
  <c r="CU27" i="1"/>
  <c r="CS27" i="1"/>
  <c r="CZ7" i="1"/>
  <c r="CY7" i="1"/>
  <c r="CX7" i="1"/>
  <c r="CU26" i="1"/>
  <c r="CS26" i="1"/>
  <c r="CT26" i="1"/>
  <c r="CY9" i="1"/>
  <c r="CZ9" i="1"/>
  <c r="CX9" i="1"/>
  <c r="CS6" i="1"/>
  <c r="CT6" i="1"/>
  <c r="CU6" i="1"/>
  <c r="CU15" i="1"/>
  <c r="CS15" i="1"/>
  <c r="CT15" i="1"/>
  <c r="CS8" i="1"/>
  <c r="CT8" i="1"/>
  <c r="CU8" i="1"/>
  <c r="CS19" i="1"/>
  <c r="CT19" i="1"/>
  <c r="CU19" i="1"/>
  <c r="CT29" i="1"/>
  <c r="CU29" i="1"/>
  <c r="CS29" i="1"/>
  <c r="CU12" i="1"/>
  <c r="CS12" i="1"/>
  <c r="CT12" i="1"/>
  <c r="CS13" i="1"/>
  <c r="CT13" i="1"/>
  <c r="CU13" i="1"/>
  <c r="CS10" i="1"/>
  <c r="CU10" i="1"/>
  <c r="CT10" i="1"/>
  <c r="CS7" i="1"/>
  <c r="CT7" i="1"/>
  <c r="CU7" i="1"/>
  <c r="CT20" i="1"/>
  <c r="CS20" i="1"/>
  <c r="CU20" i="1"/>
  <c r="CS28" i="1"/>
  <c r="CT28" i="1"/>
  <c r="CU28" i="1"/>
  <c r="CS23" i="1"/>
  <c r="CU23" i="1"/>
  <c r="CT23" i="1"/>
  <c r="CZ10" i="1"/>
  <c r="CY10" i="1"/>
  <c r="CX10" i="1"/>
  <c r="CS11" i="1"/>
  <c r="CU11" i="1"/>
  <c r="CT11" i="1"/>
  <c r="CS30" i="1"/>
  <c r="CT30" i="1"/>
  <c r="CU30" i="1"/>
  <c r="BT132" i="13"/>
  <c r="BT122" i="13"/>
  <c r="BT91" i="13"/>
  <c r="BT37" i="13"/>
  <c r="BT71" i="13"/>
  <c r="BT105" i="13"/>
  <c r="BT76" i="13"/>
  <c r="BT27" i="13"/>
  <c r="BT56" i="13"/>
  <c r="BT52" i="13"/>
  <c r="BT48" i="13"/>
  <c r="BT106" i="13"/>
  <c r="BT101" i="13"/>
  <c r="BT41" i="13"/>
  <c r="BT96" i="13"/>
  <c r="BT25" i="13"/>
  <c r="BT79" i="13"/>
  <c r="BT20" i="13"/>
  <c r="BW20" i="13" s="1"/>
  <c r="BS33" i="13"/>
  <c r="BS73" i="13"/>
  <c r="BT67" i="13"/>
  <c r="BT19" i="13"/>
  <c r="BT102" i="13"/>
  <c r="BT135" i="13"/>
  <c r="BT64" i="13"/>
  <c r="BT69" i="13"/>
  <c r="BT99" i="13"/>
  <c r="BT81" i="13"/>
  <c r="BT97" i="13"/>
  <c r="BT21" i="13"/>
  <c r="BT119" i="13"/>
  <c r="BS77" i="13"/>
  <c r="BT129" i="13"/>
  <c r="BT125" i="13"/>
  <c r="BT137" i="13"/>
  <c r="BT121" i="13"/>
  <c r="BT89" i="13"/>
  <c r="BT93" i="13"/>
  <c r="BT133" i="13"/>
  <c r="BS55" i="13"/>
  <c r="BT73" i="13"/>
  <c r="BT103" i="13"/>
  <c r="BT87" i="13"/>
  <c r="BT66" i="13"/>
  <c r="BT34" i="13"/>
  <c r="BT49" i="13"/>
  <c r="BT58" i="13"/>
  <c r="BT53" i="13"/>
  <c r="BT100" i="13"/>
  <c r="BT57" i="13"/>
  <c r="BT85" i="13"/>
  <c r="BT72" i="13"/>
  <c r="BS105" i="13"/>
  <c r="BT118" i="13"/>
  <c r="BT55" i="13"/>
  <c r="BT63" i="13"/>
  <c r="BT45" i="13"/>
  <c r="BT28" i="13"/>
  <c r="BT83" i="13"/>
  <c r="BT109" i="13"/>
  <c r="BT113" i="13"/>
  <c r="BT26" i="13"/>
  <c r="BT98" i="13"/>
  <c r="BT126" i="13"/>
  <c r="BT77" i="13"/>
  <c r="BT50" i="13"/>
  <c r="BT24" i="13"/>
  <c r="BT117" i="13"/>
  <c r="BT131" i="13"/>
  <c r="BT36" i="13"/>
  <c r="BS124" i="13"/>
  <c r="BT42" i="13"/>
  <c r="BT78" i="13"/>
  <c r="BT70" i="13"/>
  <c r="BT51" i="13"/>
  <c r="BS129" i="13"/>
  <c r="BS136" i="13"/>
  <c r="BS27" i="13"/>
  <c r="BS93" i="13"/>
  <c r="BS85" i="13"/>
  <c r="BS117" i="13"/>
  <c r="BS99" i="13"/>
  <c r="BS40" i="13"/>
  <c r="BS70" i="13"/>
  <c r="BS80" i="13"/>
  <c r="BS74" i="13"/>
  <c r="BS43" i="13"/>
  <c r="BS39" i="13"/>
  <c r="BT65" i="13"/>
  <c r="BT88" i="13"/>
  <c r="BT104" i="13"/>
  <c r="BT39" i="13"/>
  <c r="BT62" i="13"/>
  <c r="BT130" i="13"/>
  <c r="BS41" i="13"/>
  <c r="BS65" i="13"/>
  <c r="BS125" i="13"/>
  <c r="BS121" i="13"/>
  <c r="BS94" i="13"/>
  <c r="BT61" i="13"/>
  <c r="BT116" i="13"/>
  <c r="BT32" i="13"/>
  <c r="BT54" i="13"/>
  <c r="BT92" i="13"/>
  <c r="BT90" i="13"/>
  <c r="BT111" i="13"/>
  <c r="BS128" i="13"/>
  <c r="BS135" i="13"/>
  <c r="BS89" i="13"/>
  <c r="BS37" i="13"/>
  <c r="BS57" i="13"/>
  <c r="BS97" i="13"/>
  <c r="BT33" i="13"/>
  <c r="BT94" i="13"/>
  <c r="BT22" i="13"/>
  <c r="BT23" i="13"/>
  <c r="BT74" i="13"/>
  <c r="BT124" i="13"/>
  <c r="BT95" i="13"/>
  <c r="BT80" i="13"/>
  <c r="BS25" i="13"/>
  <c r="BS113" i="13"/>
  <c r="BS133" i="13"/>
  <c r="BS107" i="13"/>
  <c r="BS132" i="13"/>
  <c r="BT31" i="13"/>
  <c r="BT114" i="13"/>
  <c r="BT35" i="13"/>
  <c r="BT86" i="13"/>
  <c r="BT107" i="13"/>
  <c r="BT110" i="13"/>
  <c r="BT43" i="13"/>
  <c r="BT47" i="13"/>
  <c r="BS61" i="13"/>
  <c r="BS45" i="13"/>
  <c r="BS69" i="13"/>
  <c r="BS101" i="13"/>
  <c r="BS87" i="13"/>
  <c r="BS46" i="13"/>
  <c r="BT44" i="13"/>
  <c r="BT128" i="13"/>
  <c r="BT68" i="13"/>
  <c r="BT75" i="13"/>
  <c r="BT84" i="13"/>
  <c r="BT59" i="13"/>
  <c r="BT46" i="13"/>
  <c r="BT112" i="13"/>
  <c r="BT123" i="13"/>
  <c r="BS134" i="13"/>
  <c r="BS81" i="13"/>
  <c r="BS53" i="13"/>
  <c r="BS118" i="13"/>
  <c r="BT82" i="13"/>
  <c r="BT60" i="13"/>
  <c r="BT108" i="13"/>
  <c r="BT120" i="13"/>
  <c r="BT134" i="13"/>
  <c r="BT38" i="13"/>
  <c r="BT136" i="13"/>
  <c r="BT115" i="13"/>
  <c r="BT40" i="13"/>
  <c r="BT127" i="13"/>
  <c r="BS137" i="13"/>
  <c r="BW137" i="13" s="1"/>
  <c r="BS21" i="13"/>
  <c r="BS109" i="13"/>
  <c r="BS115" i="13"/>
  <c r="BS98" i="13"/>
  <c r="BW98" i="13" s="1"/>
  <c r="BS23" i="13"/>
  <c r="BS42" i="13"/>
  <c r="BS64" i="13"/>
  <c r="BS79" i="13"/>
  <c r="BS35" i="13"/>
  <c r="BS71" i="13"/>
  <c r="BW71" i="13" s="1"/>
  <c r="BS59" i="13"/>
  <c r="BS130" i="13"/>
  <c r="BS49" i="13"/>
  <c r="BS90" i="13"/>
  <c r="BS78" i="13"/>
  <c r="BS58" i="13"/>
  <c r="BS84" i="13"/>
  <c r="BS60" i="13"/>
  <c r="BS63" i="13"/>
  <c r="BS102" i="13"/>
  <c r="BS62" i="13"/>
  <c r="BS36" i="13"/>
  <c r="BS51" i="13"/>
  <c r="BS66" i="13"/>
  <c r="BS127" i="13"/>
  <c r="BS123" i="13"/>
  <c r="BS83" i="13"/>
  <c r="BS86" i="13"/>
  <c r="BS52" i="13"/>
  <c r="BS67" i="13"/>
  <c r="BS47" i="13"/>
  <c r="BS72" i="13"/>
  <c r="BS48" i="13"/>
  <c r="BS56" i="13"/>
  <c r="BS92" i="13"/>
  <c r="BS24" i="13"/>
  <c r="BS82" i="13"/>
  <c r="BS116" i="13"/>
  <c r="BS76" i="13"/>
  <c r="BS75" i="13"/>
  <c r="BS119" i="13"/>
  <c r="BS54" i="13"/>
  <c r="BS96" i="13"/>
  <c r="BS22" i="13"/>
  <c r="BS44" i="13"/>
  <c r="BS110" i="13"/>
  <c r="BS32" i="13"/>
  <c r="BS28" i="13"/>
  <c r="BS126" i="13"/>
  <c r="BS122" i="13"/>
  <c r="BS106" i="13"/>
  <c r="BS34" i="13"/>
  <c r="BS68" i="13"/>
  <c r="BS91" i="13"/>
  <c r="BS19" i="13"/>
  <c r="BS50" i="13"/>
  <c r="BS114" i="13"/>
  <c r="BS31" i="13"/>
  <c r="BS95" i="13"/>
  <c r="BS111" i="13"/>
  <c r="BS103" i="13"/>
  <c r="BS100" i="13"/>
  <c r="BW100" i="13" s="1"/>
  <c r="BS104" i="13"/>
  <c r="BS38" i="13"/>
  <c r="BS88" i="13"/>
  <c r="BS112" i="13"/>
  <c r="BS120" i="13"/>
  <c r="BS26" i="13"/>
  <c r="BS108" i="13"/>
  <c r="BS131" i="13"/>
  <c r="BW56" i="13" l="1"/>
  <c r="BW79" i="13"/>
  <c r="BW91" i="13"/>
  <c r="BS15" i="13"/>
  <c r="BS13" i="13" s="1"/>
  <c r="BW72" i="13"/>
  <c r="CY31" i="1"/>
  <c r="CY38" i="1" s="1"/>
  <c r="S42" i="1" s="1"/>
  <c r="S13" i="21" s="1"/>
  <c r="CX31" i="1"/>
  <c r="CX38" i="1" s="1"/>
  <c r="R42" i="1" s="1"/>
  <c r="CZ31" i="1"/>
  <c r="CZ38" i="1" s="1"/>
  <c r="T42" i="1" s="1"/>
  <c r="BW130" i="13"/>
  <c r="BW31" i="13"/>
  <c r="BW66" i="13"/>
  <c r="BW132" i="13"/>
  <c r="BW45" i="13"/>
  <c r="BW106" i="13"/>
  <c r="BW37" i="13"/>
  <c r="BW21" i="13"/>
  <c r="BW36" i="13"/>
  <c r="BW57" i="13"/>
  <c r="BW99" i="13"/>
  <c r="BW122" i="13"/>
  <c r="BW48" i="13"/>
  <c r="BW28" i="13"/>
  <c r="BW103" i="13"/>
  <c r="BW52" i="13"/>
  <c r="BW126" i="13"/>
  <c r="BW135" i="13"/>
  <c r="BW131" i="13"/>
  <c r="BW116" i="13"/>
  <c r="BW62" i="13"/>
  <c r="BW60" i="13"/>
  <c r="BW102" i="13"/>
  <c r="BW114" i="13"/>
  <c r="BW32" i="13"/>
  <c r="BW58" i="13"/>
  <c r="BW133" i="13"/>
  <c r="BW110" i="13"/>
  <c r="BW108" i="13"/>
  <c r="BW112" i="13"/>
  <c r="BW115" i="13"/>
  <c r="BW86" i="13"/>
  <c r="BW84" i="13"/>
  <c r="BW23" i="13"/>
  <c r="BW97" i="13"/>
  <c r="BW96" i="13"/>
  <c r="BW90" i="13"/>
  <c r="BW121" i="13"/>
  <c r="BW119" i="13"/>
  <c r="BW83" i="13"/>
  <c r="BW85" i="13"/>
  <c r="BW123" i="13"/>
  <c r="BW42" i="13"/>
  <c r="BW76" i="13"/>
  <c r="BW22" i="13"/>
  <c r="BW24" i="13"/>
  <c r="BW51" i="13"/>
  <c r="BW113" i="13"/>
  <c r="BW55" i="13"/>
  <c r="BW81" i="13"/>
  <c r="BW26" i="13"/>
  <c r="BW34" i="13"/>
  <c r="BW78" i="13"/>
  <c r="BW104" i="13"/>
  <c r="BW44" i="13"/>
  <c r="BW127" i="13"/>
  <c r="BW120" i="13"/>
  <c r="BW92" i="13"/>
  <c r="BW75" i="13"/>
  <c r="BW64" i="13"/>
  <c r="BW46" i="13"/>
  <c r="BW67" i="13"/>
  <c r="BW101" i="13"/>
  <c r="BW89" i="13"/>
  <c r="BW129" i="13"/>
  <c r="BW95" i="13"/>
  <c r="BW105" i="13"/>
  <c r="BW54" i="13"/>
  <c r="BW87" i="13"/>
  <c r="BW38" i="13"/>
  <c r="BW61" i="13"/>
  <c r="BW117" i="13"/>
  <c r="BW82" i="13"/>
  <c r="BW47" i="13"/>
  <c r="BW63" i="13"/>
  <c r="BW53" i="13"/>
  <c r="BW25" i="13"/>
  <c r="BW134" i="13"/>
  <c r="BW125" i="13"/>
  <c r="CH35" i="13"/>
  <c r="CI35" i="13"/>
  <c r="CH44" i="13"/>
  <c r="CI44" i="13"/>
  <c r="CB22" i="13"/>
  <c r="CC22" i="13"/>
  <c r="CC7" i="13"/>
  <c r="X7" i="1" s="1"/>
  <c r="CC23" i="13"/>
  <c r="CB23" i="13"/>
  <c r="CB43" i="13"/>
  <c r="CC43" i="13"/>
  <c r="CC14" i="13"/>
  <c r="X14" i="1" s="1"/>
  <c r="D17" i="21" s="1"/>
  <c r="BW50" i="13"/>
  <c r="CC10" i="13"/>
  <c r="X10" i="1" s="1"/>
  <c r="CB31" i="13"/>
  <c r="CC31" i="13"/>
  <c r="BW49" i="13"/>
  <c r="BW65" i="13"/>
  <c r="BW39" i="13"/>
  <c r="CH34" i="13"/>
  <c r="CI11" i="13"/>
  <c r="AS11" i="1" s="1"/>
  <c r="E14" i="21" s="1"/>
  <c r="CI34" i="13"/>
  <c r="CI43" i="13"/>
  <c r="CI14" i="13"/>
  <c r="AS14" i="1" s="1"/>
  <c r="E17" i="21" s="1"/>
  <c r="CH43" i="13"/>
  <c r="CH26" i="13"/>
  <c r="CI26" i="13"/>
  <c r="BW77" i="13"/>
  <c r="BW73" i="13"/>
  <c r="CH47" i="13"/>
  <c r="CI47" i="13"/>
  <c r="CB47" i="13"/>
  <c r="CC47" i="13"/>
  <c r="CC32" i="13"/>
  <c r="CB32" i="13"/>
  <c r="BW41" i="13"/>
  <c r="BW43" i="13"/>
  <c r="BW93" i="13"/>
  <c r="BW124" i="13"/>
  <c r="CI25" i="13"/>
  <c r="CH25" i="13"/>
  <c r="CI8" i="13"/>
  <c r="AS8" i="1" s="1"/>
  <c r="E11" i="21" s="1"/>
  <c r="CI41" i="13"/>
  <c r="CH41" i="13"/>
  <c r="BW33" i="13"/>
  <c r="CC8" i="13"/>
  <c r="X8" i="1" s="1"/>
  <c r="CC25" i="13"/>
  <c r="CB25" i="13"/>
  <c r="CC41" i="13"/>
  <c r="CB41" i="13"/>
  <c r="CB44" i="13"/>
  <c r="CZ44" i="13" s="1"/>
  <c r="CC44" i="13"/>
  <c r="CC35" i="13"/>
  <c r="CB35" i="13"/>
  <c r="CC13" i="13"/>
  <c r="X13" i="1" s="1"/>
  <c r="CB40" i="13"/>
  <c r="CC40" i="13"/>
  <c r="BW19" i="13"/>
  <c r="CC11" i="13"/>
  <c r="X11" i="1" s="1"/>
  <c r="CB34" i="13"/>
  <c r="CC34" i="13"/>
  <c r="BW59" i="13"/>
  <c r="BW107" i="13"/>
  <c r="BW74" i="13"/>
  <c r="BW27" i="13"/>
  <c r="CI40" i="13"/>
  <c r="CH40" i="13"/>
  <c r="CI13" i="13"/>
  <c r="AS13" i="1" s="1"/>
  <c r="E16" i="21" s="1"/>
  <c r="X6" i="1"/>
  <c r="DZ14" i="13"/>
  <c r="CB19" i="13"/>
  <c r="EB9" i="13"/>
  <c r="CI20" i="13" s="1"/>
  <c r="CH20" i="13"/>
  <c r="BW80" i="13"/>
  <c r="BW136" i="13"/>
  <c r="CC38" i="13"/>
  <c r="CB38" i="13"/>
  <c r="CC46" i="13"/>
  <c r="CB46" i="13"/>
  <c r="CC15" i="13"/>
  <c r="X15" i="1" s="1"/>
  <c r="D18" i="21" s="1"/>
  <c r="BW111" i="13"/>
  <c r="CB29" i="13"/>
  <c r="CC29" i="13"/>
  <c r="BW35" i="13"/>
  <c r="BW118" i="13"/>
  <c r="BW69" i="13"/>
  <c r="CH31" i="13"/>
  <c r="CI31" i="13"/>
  <c r="CI10" i="13"/>
  <c r="AS10" i="1" s="1"/>
  <c r="E13" i="21" s="1"/>
  <c r="EB14" i="13"/>
  <c r="CI19" i="13" s="1"/>
  <c r="CH19" i="13"/>
  <c r="AS6" i="1"/>
  <c r="E9" i="21" s="1"/>
  <c r="BW70" i="13"/>
  <c r="CH23" i="13"/>
  <c r="CI23" i="13"/>
  <c r="CH46" i="13"/>
  <c r="CI46" i="13"/>
  <c r="CI15" i="13"/>
  <c r="AS15" i="1" s="1"/>
  <c r="E18" i="21" s="1"/>
  <c r="CH38" i="13"/>
  <c r="CI38" i="13"/>
  <c r="CI29" i="13"/>
  <c r="CH29" i="13"/>
  <c r="BW88" i="13"/>
  <c r="BW68" i="13"/>
  <c r="CB28" i="13"/>
  <c r="CC28" i="13"/>
  <c r="CC9" i="13"/>
  <c r="X9" i="1" s="1"/>
  <c r="CC26" i="13"/>
  <c r="CB26" i="13"/>
  <c r="DZ9" i="13"/>
  <c r="CB20" i="13"/>
  <c r="CC37" i="13"/>
  <c r="CC12" i="13"/>
  <c r="X12" i="1" s="1"/>
  <c r="CB37" i="13"/>
  <c r="BW109" i="13"/>
  <c r="CI9" i="13"/>
  <c r="AS9" i="1" s="1"/>
  <c r="E12" i="21" s="1"/>
  <c r="CI28" i="13"/>
  <c r="CH28" i="13"/>
  <c r="CH32" i="13"/>
  <c r="CI32" i="13"/>
  <c r="BW128" i="13"/>
  <c r="BW94" i="13"/>
  <c r="BW40" i="13"/>
  <c r="CI7" i="13"/>
  <c r="AS7" i="1" s="1"/>
  <c r="E10" i="21" s="1"/>
  <c r="CI22" i="13"/>
  <c r="CH22" i="13"/>
  <c r="BT15" i="13"/>
  <c r="BT13" i="13" s="1"/>
  <c r="CH37" i="13"/>
  <c r="CI37" i="13"/>
  <c r="CI12" i="13"/>
  <c r="AS12" i="1" s="1"/>
  <c r="E15" i="21" s="1"/>
  <c r="D16" i="21" l="1"/>
  <c r="D10" i="21"/>
  <c r="D11" i="21"/>
  <c r="D13" i="21"/>
  <c r="D15" i="21"/>
  <c r="D12" i="21"/>
  <c r="D14" i="21"/>
  <c r="D9" i="21"/>
  <c r="Y6" i="1"/>
  <c r="L9" i="21" s="1"/>
  <c r="DA44" i="13"/>
  <c r="DA34" i="13"/>
  <c r="CC19" i="13"/>
  <c r="DA19" i="13" s="1"/>
  <c r="HG14" i="13"/>
  <c r="CC20" i="13"/>
  <c r="DA20" i="13" s="1"/>
  <c r="HG9" i="13"/>
  <c r="AT12" i="1"/>
  <c r="M15" i="21" s="1"/>
  <c r="Y15" i="1"/>
  <c r="L18" i="21" s="1"/>
  <c r="AT15" i="1"/>
  <c r="M18" i="21" s="1"/>
  <c r="Y13" i="1"/>
  <c r="L16" i="21" s="1"/>
  <c r="AT7" i="1"/>
  <c r="M10" i="21" s="1"/>
  <c r="AT9" i="1"/>
  <c r="M12" i="21" s="1"/>
  <c r="Y9" i="1"/>
  <c r="L12" i="21" s="1"/>
  <c r="Y12" i="1"/>
  <c r="L15" i="21" s="1"/>
  <c r="AT10" i="1"/>
  <c r="M13" i="21" s="1"/>
  <c r="AT13" i="1"/>
  <c r="M16" i="21" s="1"/>
  <c r="AT14" i="1"/>
  <c r="M17" i="21" s="1"/>
  <c r="Y7" i="1"/>
  <c r="L10" i="21" s="1"/>
  <c r="Y8" i="1"/>
  <c r="L11" i="21" s="1"/>
  <c r="Y10" i="1"/>
  <c r="AT6" i="1"/>
  <c r="M9" i="21" s="1"/>
  <c r="AT11" i="1"/>
  <c r="M14" i="21" s="1"/>
  <c r="Y11" i="1"/>
  <c r="L14" i="21" s="1"/>
  <c r="Y14" i="1"/>
  <c r="L17" i="21" s="1"/>
  <c r="AT8" i="1"/>
  <c r="M11" i="21" s="1"/>
  <c r="CZ20" i="13"/>
  <c r="DA6" i="13"/>
  <c r="DA47" i="13"/>
  <c r="DA41" i="13"/>
  <c r="CZ32" i="13"/>
  <c r="DA26" i="13"/>
  <c r="CZ47" i="13"/>
  <c r="CZ34" i="13"/>
  <c r="CZ29" i="13"/>
  <c r="DA43" i="13"/>
  <c r="CZ37" i="13"/>
  <c r="CZ28" i="13"/>
  <c r="CZ41" i="13"/>
  <c r="DA32" i="13"/>
  <c r="CZ43" i="13"/>
  <c r="DA35" i="13"/>
  <c r="CZ46" i="13"/>
  <c r="CZ19" i="13"/>
  <c r="CZ40" i="13"/>
  <c r="CZ25" i="13"/>
  <c r="DA31" i="13"/>
  <c r="CZ35" i="13"/>
  <c r="DA29" i="13"/>
  <c r="BW15" i="13"/>
  <c r="BW13" i="13" s="1"/>
  <c r="DA28" i="13"/>
  <c r="CZ26" i="13"/>
  <c r="CZ38" i="13"/>
  <c r="DA8" i="13"/>
  <c r="C8" i="1" s="1"/>
  <c r="C11" i="21" s="1"/>
  <c r="DA10" i="13"/>
  <c r="C10" i="1" s="1"/>
  <c r="C13" i="21" s="1"/>
  <c r="DA22" i="13"/>
  <c r="DA38" i="13"/>
  <c r="CZ22" i="13"/>
  <c r="DA9" i="13"/>
  <c r="C9" i="1" s="1"/>
  <c r="C12" i="21" s="1"/>
  <c r="DA11" i="13"/>
  <c r="C11" i="1" s="1"/>
  <c r="C14" i="21" s="1"/>
  <c r="DA14" i="13"/>
  <c r="C14" i="1" s="1"/>
  <c r="C17" i="21" s="1"/>
  <c r="DA12" i="13"/>
  <c r="C12" i="1" s="1"/>
  <c r="C15" i="21" s="1"/>
  <c r="DA37" i="13"/>
  <c r="DA15" i="13"/>
  <c r="C15" i="1" s="1"/>
  <c r="C18" i="21" s="1"/>
  <c r="DA40" i="13"/>
  <c r="CZ23" i="13"/>
  <c r="DA23" i="13"/>
  <c r="DA46" i="13"/>
  <c r="DA13" i="13"/>
  <c r="C13" i="1" s="1"/>
  <c r="C16" i="21" s="1"/>
  <c r="DA25" i="13"/>
  <c r="CZ31" i="13"/>
  <c r="DA7" i="13"/>
  <c r="C7" i="1" s="1"/>
  <c r="C10" i="21" s="1"/>
  <c r="C6" i="1" l="1"/>
  <c r="C9" i="21" s="1"/>
  <c r="D10" i="1"/>
  <c r="K13" i="21" s="1"/>
  <c r="L13" i="21"/>
  <c r="D15" i="1"/>
  <c r="K18" i="21" s="1"/>
  <c r="D13" i="1"/>
  <c r="K16" i="21" s="1"/>
  <c r="D12" i="1"/>
  <c r="K15" i="21" s="1"/>
  <c r="D9" i="1"/>
  <c r="K12" i="21" s="1"/>
  <c r="D7" i="1"/>
  <c r="K10" i="21" s="1"/>
  <c r="D6" i="1"/>
  <c r="K9" i="21" s="1"/>
  <c r="D14" i="1"/>
  <c r="K17" i="21" s="1"/>
  <c r="AT16" i="1"/>
  <c r="M19" i="21" s="1"/>
  <c r="D11" i="1"/>
  <c r="K14" i="21" s="1"/>
  <c r="D8" i="1"/>
  <c r="K11" i="21" s="1"/>
  <c r="Y16" i="1"/>
  <c r="L19" i="21" s="1"/>
  <c r="AH9" i="13"/>
  <c r="AH15" i="13"/>
  <c r="AI15" i="13" s="1"/>
  <c r="AH13" i="13"/>
  <c r="AH12" i="13"/>
  <c r="AH10" i="13"/>
  <c r="AH8" i="13"/>
  <c r="AH7" i="13"/>
  <c r="AH14" i="13"/>
  <c r="AH6" i="13"/>
  <c r="AH11" i="13"/>
  <c r="AI13" i="13" l="1" a="1"/>
  <c r="AI13" i="13" s="1"/>
  <c r="AI7" i="13" a="1"/>
  <c r="AI7" i="13" s="1"/>
  <c r="AI12" i="13" a="1"/>
  <c r="AI12" i="13" s="1"/>
  <c r="AI9" i="13" a="1"/>
  <c r="AI9" i="13" s="1"/>
  <c r="AI6" i="13" a="1"/>
  <c r="AI6" i="13" s="1"/>
  <c r="AI8" i="13" a="1"/>
  <c r="AI8" i="13" s="1"/>
  <c r="AI11" i="13" a="1"/>
  <c r="AI11" i="13" s="1"/>
  <c r="AI14" i="13" a="1"/>
  <c r="AI14" i="13" s="1"/>
  <c r="AI10" i="13" a="1"/>
  <c r="AI10" i="13" s="1"/>
  <c r="D16" i="1"/>
  <c r="L7" i="1" s="1"/>
  <c r="BB17" i="1"/>
  <c r="BG30" i="1"/>
  <c r="BB13" i="1"/>
  <c r="BG9" i="1"/>
  <c r="BB12" i="1"/>
  <c r="BG14" i="1"/>
  <c r="BB18" i="1"/>
  <c r="BB6" i="1"/>
  <c r="BB14" i="1"/>
  <c r="BB9" i="1"/>
  <c r="BB19" i="1"/>
  <c r="BG24" i="1"/>
  <c r="BG12" i="1"/>
  <c r="BG26" i="1"/>
  <c r="BB20" i="1"/>
  <c r="BG20" i="1"/>
  <c r="BB15" i="1"/>
  <c r="BB11" i="1"/>
  <c r="BG27" i="1"/>
  <c r="BB22" i="1"/>
  <c r="BG19" i="1"/>
  <c r="BG15" i="1"/>
  <c r="BG16" i="1"/>
  <c r="BB7" i="1"/>
  <c r="BG6" i="1"/>
  <c r="BG38" i="1"/>
  <c r="Q40" i="1" s="1"/>
  <c r="R11" i="21" s="1"/>
  <c r="BG17" i="1"/>
  <c r="BG29" i="1"/>
  <c r="BB21" i="1"/>
  <c r="BG23" i="1"/>
  <c r="BG18" i="1"/>
  <c r="BB10" i="1"/>
  <c r="BB29" i="1"/>
  <c r="BG21" i="1"/>
  <c r="BG10" i="1"/>
  <c r="BB16" i="1"/>
  <c r="BG28" i="1"/>
  <c r="BG11" i="1"/>
  <c r="BB8" i="1"/>
  <c r="BG7" i="1"/>
  <c r="BB23" i="1"/>
  <c r="BB30" i="1"/>
  <c r="BG8" i="1"/>
  <c r="BG13" i="1"/>
  <c r="BB26" i="1"/>
  <c r="BB27" i="1"/>
  <c r="BG22" i="1"/>
  <c r="BB24" i="1"/>
  <c r="BB25" i="1"/>
  <c r="BB28" i="1"/>
  <c r="BG25" i="1"/>
  <c r="K19" i="21" l="1"/>
  <c r="L6" i="1"/>
  <c r="AI16" i="13"/>
  <c r="BC29" i="1"/>
  <c r="BE29" i="1"/>
  <c r="BD29" i="1"/>
  <c r="BH7" i="1"/>
  <c r="BJ7" i="1"/>
  <c r="BI7" i="1"/>
  <c r="BC6" i="1"/>
  <c r="BE6" i="1"/>
  <c r="BD6" i="1"/>
  <c r="BE8" i="1"/>
  <c r="BC8" i="1"/>
  <c r="BD8" i="1"/>
  <c r="BJ18" i="1"/>
  <c r="BI18" i="1"/>
  <c r="BH18" i="1"/>
  <c r="BI16" i="1"/>
  <c r="BJ16" i="1"/>
  <c r="BH16" i="1"/>
  <c r="BE20" i="1"/>
  <c r="BC20" i="1"/>
  <c r="BD20" i="1"/>
  <c r="BE18" i="1"/>
  <c r="BD18" i="1"/>
  <c r="BC18" i="1"/>
  <c r="BC23" i="1"/>
  <c r="BE23" i="1"/>
  <c r="BD23" i="1"/>
  <c r="BC14" i="1"/>
  <c r="BE14" i="1"/>
  <c r="BD14" i="1"/>
  <c r="BD7" i="1"/>
  <c r="BE7" i="1"/>
  <c r="BC7" i="1"/>
  <c r="BH11" i="1"/>
  <c r="BJ11" i="1"/>
  <c r="BI11" i="1"/>
  <c r="BH15" i="1"/>
  <c r="BJ15" i="1"/>
  <c r="BI15" i="1"/>
  <c r="Q38" i="1"/>
  <c r="R9" i="21" s="1"/>
  <c r="Q9" i="1"/>
  <c r="L30" i="1"/>
  <c r="Q20" i="1"/>
  <c r="Q25" i="1"/>
  <c r="Q30" i="1"/>
  <c r="L27" i="1"/>
  <c r="Q10" i="1"/>
  <c r="L26" i="1"/>
  <c r="Q8" i="1"/>
  <c r="L24" i="1"/>
  <c r="L10" i="1"/>
  <c r="L19" i="1"/>
  <c r="Q29" i="1"/>
  <c r="Q12" i="1"/>
  <c r="Q15" i="1"/>
  <c r="Q18" i="1"/>
  <c r="Q14" i="1"/>
  <c r="L28" i="1"/>
  <c r="Q27" i="1"/>
  <c r="Q21" i="1"/>
  <c r="Q23" i="1"/>
  <c r="Q19" i="1"/>
  <c r="L20" i="1"/>
  <c r="L25" i="1"/>
  <c r="Q13" i="1"/>
  <c r="L13" i="1"/>
  <c r="L17" i="1"/>
  <c r="Q24" i="1"/>
  <c r="Q17" i="1"/>
  <c r="L18" i="1"/>
  <c r="L8" i="1"/>
  <c r="L15" i="1"/>
  <c r="Q22" i="1"/>
  <c r="Q16" i="1"/>
  <c r="L23" i="1"/>
  <c r="L16" i="1"/>
  <c r="L22" i="1"/>
  <c r="L12" i="1"/>
  <c r="L9" i="1"/>
  <c r="Q28" i="1"/>
  <c r="Q11" i="1"/>
  <c r="Q6" i="1"/>
  <c r="L21" i="1"/>
  <c r="Q26" i="1"/>
  <c r="L29" i="1"/>
  <c r="L11" i="1"/>
  <c r="L14" i="1"/>
  <c r="Q7" i="1"/>
  <c r="BD26" i="1"/>
  <c r="BC26" i="1"/>
  <c r="BE26" i="1"/>
  <c r="BC21" i="1"/>
  <c r="BD21" i="1"/>
  <c r="BE21" i="1"/>
  <c r="BJ19" i="1"/>
  <c r="BH19" i="1"/>
  <c r="BI19" i="1"/>
  <c r="BJ12" i="1"/>
  <c r="BI12" i="1"/>
  <c r="BH12" i="1"/>
  <c r="BD12" i="1"/>
  <c r="BE12" i="1"/>
  <c r="BC12" i="1"/>
  <c r="BE25" i="1"/>
  <c r="BC25" i="1"/>
  <c r="BD25" i="1"/>
  <c r="BH6" i="1"/>
  <c r="BJ6" i="1"/>
  <c r="BI6" i="1"/>
  <c r="BC24" i="1"/>
  <c r="BD24" i="1"/>
  <c r="BE24" i="1"/>
  <c r="BJ20" i="1"/>
  <c r="BH20" i="1"/>
  <c r="BI20" i="1"/>
  <c r="AL21" i="1"/>
  <c r="AL8" i="1"/>
  <c r="AL17" i="1"/>
  <c r="AL20" i="1"/>
  <c r="AG13" i="1"/>
  <c r="AG11" i="1"/>
  <c r="AG21" i="1"/>
  <c r="AL12" i="1"/>
  <c r="AL26" i="1"/>
  <c r="AG9" i="1"/>
  <c r="AG10" i="1"/>
  <c r="AG24" i="1"/>
  <c r="AL16" i="1"/>
  <c r="AG20" i="1"/>
  <c r="AG27" i="1"/>
  <c r="AL7" i="1"/>
  <c r="AL23" i="1"/>
  <c r="AL22" i="1"/>
  <c r="AG18" i="1"/>
  <c r="AL11" i="1"/>
  <c r="AL10" i="1"/>
  <c r="AL29" i="1"/>
  <c r="AG29" i="1"/>
  <c r="AG14" i="1"/>
  <c r="AG26" i="1"/>
  <c r="AL30" i="1"/>
  <c r="AG25" i="1"/>
  <c r="AL18" i="1"/>
  <c r="AG6" i="1"/>
  <c r="AG28" i="1"/>
  <c r="AL9" i="1"/>
  <c r="AL24" i="1"/>
  <c r="AL15" i="1"/>
  <c r="AG23" i="1"/>
  <c r="AG7" i="1"/>
  <c r="AG15" i="1"/>
  <c r="AL6" i="1"/>
  <c r="AG8" i="1"/>
  <c r="AG17" i="1"/>
  <c r="AL28" i="1"/>
  <c r="AL13" i="1"/>
  <c r="AL25" i="1"/>
  <c r="AL38" i="1"/>
  <c r="Q39" i="1" s="1"/>
  <c r="R10" i="21" s="1"/>
  <c r="AL14" i="1"/>
  <c r="AG16" i="1"/>
  <c r="AG30" i="1"/>
  <c r="AG22" i="1"/>
  <c r="AL19" i="1"/>
  <c r="AL27" i="1"/>
  <c r="AG19" i="1"/>
  <c r="AG12" i="1"/>
  <c r="BJ13" i="1"/>
  <c r="BH13" i="1"/>
  <c r="BI13" i="1"/>
  <c r="BD16" i="1"/>
  <c r="BE16" i="1"/>
  <c r="BC16" i="1"/>
  <c r="BE22" i="1"/>
  <c r="BD22" i="1"/>
  <c r="BC22" i="1"/>
  <c r="BJ9" i="1"/>
  <c r="BI9" i="1"/>
  <c r="BH9" i="1"/>
  <c r="BC15" i="1"/>
  <c r="BD15" i="1"/>
  <c r="BE15" i="1"/>
  <c r="BE10" i="1"/>
  <c r="BD10" i="1"/>
  <c r="BC10" i="1"/>
  <c r="BH8" i="1"/>
  <c r="BI8" i="1"/>
  <c r="BJ8" i="1"/>
  <c r="BJ10" i="1"/>
  <c r="BH10" i="1"/>
  <c r="BI10" i="1"/>
  <c r="BJ17" i="1"/>
  <c r="BI17" i="1"/>
  <c r="BH17" i="1"/>
  <c r="BC19" i="1"/>
  <c r="BE19" i="1"/>
  <c r="BD19" i="1"/>
  <c r="BD13" i="1"/>
  <c r="BE13" i="1"/>
  <c r="BC13" i="1"/>
  <c r="BE17" i="1"/>
  <c r="BD17" i="1"/>
  <c r="BC17" i="1"/>
  <c r="BD27" i="1"/>
  <c r="BE27" i="1"/>
  <c r="BC27" i="1"/>
  <c r="BH14" i="1"/>
  <c r="BJ14" i="1"/>
  <c r="BI14" i="1"/>
  <c r="BE28" i="1"/>
  <c r="BC28" i="1"/>
  <c r="BD28" i="1"/>
  <c r="BE30" i="1"/>
  <c r="BD30" i="1"/>
  <c r="BC30" i="1"/>
  <c r="BE11" i="1"/>
  <c r="BD11" i="1"/>
  <c r="BC11" i="1"/>
  <c r="BC9" i="1"/>
  <c r="BE9" i="1"/>
  <c r="BD9" i="1"/>
  <c r="AJ29" i="1" l="1"/>
  <c r="AH29" i="1"/>
  <c r="AI29" i="1"/>
  <c r="AI12" i="1"/>
  <c r="AJ12" i="1"/>
  <c r="AH12" i="1"/>
  <c r="AJ25" i="1"/>
  <c r="AH25" i="1"/>
  <c r="AI25" i="1"/>
  <c r="M11" i="1"/>
  <c r="O11" i="1"/>
  <c r="N11" i="1"/>
  <c r="S19" i="1"/>
  <c r="T19" i="1"/>
  <c r="R19" i="1"/>
  <c r="BJ31" i="1"/>
  <c r="BJ38" i="1" s="1"/>
  <c r="T40" i="1" s="1"/>
  <c r="AH19" i="1"/>
  <c r="AI19" i="1"/>
  <c r="AJ19" i="1"/>
  <c r="AJ23" i="1"/>
  <c r="AI23" i="1"/>
  <c r="AH23" i="1"/>
  <c r="AH9" i="1"/>
  <c r="AJ9" i="1"/>
  <c r="AI9" i="1"/>
  <c r="AO8" i="1"/>
  <c r="AM8" i="1"/>
  <c r="AN8" i="1"/>
  <c r="O29" i="1"/>
  <c r="M29" i="1"/>
  <c r="N29" i="1"/>
  <c r="M22" i="1"/>
  <c r="O22" i="1"/>
  <c r="N22" i="1"/>
  <c r="R17" i="1"/>
  <c r="T17" i="1"/>
  <c r="S17" i="1"/>
  <c r="O6" i="1"/>
  <c r="M6" i="1"/>
  <c r="N6" i="1"/>
  <c r="T12" i="1"/>
  <c r="S12" i="1"/>
  <c r="R12" i="1"/>
  <c r="R10" i="1"/>
  <c r="S10" i="1"/>
  <c r="T10" i="1"/>
  <c r="BH31" i="1"/>
  <c r="BH38" i="1" s="1"/>
  <c r="R40" i="1" s="1"/>
  <c r="AM9" i="1"/>
  <c r="AO9" i="1"/>
  <c r="AN9" i="1"/>
  <c r="AJ7" i="1"/>
  <c r="AH7" i="1"/>
  <c r="AI7" i="1"/>
  <c r="AI10" i="1"/>
  <c r="AH10" i="1"/>
  <c r="AJ10" i="1"/>
  <c r="N12" i="1"/>
  <c r="M12" i="1"/>
  <c r="O12" i="1"/>
  <c r="R15" i="1"/>
  <c r="S15" i="1"/>
  <c r="T15" i="1"/>
  <c r="AO15" i="1"/>
  <c r="AN15" i="1"/>
  <c r="AM15" i="1"/>
  <c r="N16" i="1"/>
  <c r="M16" i="1"/>
  <c r="O16" i="1"/>
  <c r="N27" i="1"/>
  <c r="O27" i="1"/>
  <c r="M27" i="1"/>
  <c r="AJ18" i="1"/>
  <c r="AH18" i="1"/>
  <c r="AI18" i="1"/>
  <c r="AO17" i="1"/>
  <c r="AN17" i="1"/>
  <c r="AM17" i="1"/>
  <c r="O18" i="1"/>
  <c r="M18" i="1"/>
  <c r="N18" i="1"/>
  <c r="M26" i="1"/>
  <c r="O26" i="1"/>
  <c r="N26" i="1"/>
  <c r="AO13" i="1"/>
  <c r="AM13" i="1"/>
  <c r="AN13" i="1"/>
  <c r="AH26" i="1"/>
  <c r="AI26" i="1"/>
  <c r="AJ26" i="1"/>
  <c r="AO19" i="1"/>
  <c r="AM19" i="1"/>
  <c r="AN19" i="1"/>
  <c r="AI14" i="1"/>
  <c r="AJ14" i="1"/>
  <c r="AH14" i="1"/>
  <c r="AM7" i="1"/>
  <c r="AO7" i="1"/>
  <c r="AN7" i="1"/>
  <c r="AM12" i="1"/>
  <c r="AN12" i="1"/>
  <c r="AO12" i="1"/>
  <c r="O21" i="1"/>
  <c r="N21" i="1"/>
  <c r="M21" i="1"/>
  <c r="M23" i="1"/>
  <c r="N23" i="1"/>
  <c r="O23" i="1"/>
  <c r="N17" i="1"/>
  <c r="M17" i="1"/>
  <c r="O17" i="1"/>
  <c r="N19" i="1"/>
  <c r="O19" i="1"/>
  <c r="M19" i="1"/>
  <c r="AI17" i="1"/>
  <c r="AJ17" i="1"/>
  <c r="AH17" i="1"/>
  <c r="R6" i="1"/>
  <c r="S6" i="1"/>
  <c r="T6" i="1"/>
  <c r="AH27" i="1"/>
  <c r="AJ27" i="1"/>
  <c r="AI27" i="1"/>
  <c r="S16" i="1"/>
  <c r="R16" i="1"/>
  <c r="T16" i="1"/>
  <c r="O13" i="1"/>
  <c r="M13" i="1"/>
  <c r="N13" i="1"/>
  <c r="N7" i="1"/>
  <c r="O7" i="1"/>
  <c r="M7" i="1"/>
  <c r="AJ30" i="1"/>
  <c r="AI30" i="1"/>
  <c r="AH30" i="1"/>
  <c r="AJ8" i="1"/>
  <c r="AI8" i="1"/>
  <c r="AH8" i="1"/>
  <c r="AI28" i="1"/>
  <c r="AH28" i="1"/>
  <c r="AJ28" i="1"/>
  <c r="AI20" i="1"/>
  <c r="AJ20" i="1"/>
  <c r="AH20" i="1"/>
  <c r="AI11" i="1"/>
  <c r="AJ11" i="1"/>
  <c r="AH11" i="1"/>
  <c r="S11" i="1"/>
  <c r="R11" i="1"/>
  <c r="T11" i="1"/>
  <c r="T13" i="1"/>
  <c r="R13" i="1"/>
  <c r="S13" i="1"/>
  <c r="M28" i="1"/>
  <c r="N28" i="1"/>
  <c r="O28" i="1"/>
  <c r="M10" i="1"/>
  <c r="N10" i="1"/>
  <c r="O10" i="1"/>
  <c r="S20" i="1"/>
  <c r="T20" i="1"/>
  <c r="R20" i="1"/>
  <c r="AN16" i="1"/>
  <c r="AM16" i="1"/>
  <c r="AO16" i="1"/>
  <c r="AH22" i="1"/>
  <c r="AJ22" i="1"/>
  <c r="AI22" i="1"/>
  <c r="AH21" i="1"/>
  <c r="AJ21" i="1"/>
  <c r="AI21" i="1"/>
  <c r="AJ16" i="1"/>
  <c r="AH16" i="1"/>
  <c r="AI16" i="1"/>
  <c r="AO6" i="1"/>
  <c r="AM6" i="1"/>
  <c r="AN6" i="1"/>
  <c r="AH6" i="1"/>
  <c r="AI6" i="1"/>
  <c r="AJ6" i="1"/>
  <c r="AN10" i="1"/>
  <c r="AM10" i="1"/>
  <c r="AO10" i="1"/>
  <c r="AI13" i="1"/>
  <c r="AH13" i="1"/>
  <c r="AJ13" i="1"/>
  <c r="T7" i="1"/>
  <c r="R7" i="1"/>
  <c r="S7" i="1"/>
  <c r="N15" i="1"/>
  <c r="O15" i="1"/>
  <c r="M15" i="1"/>
  <c r="O25" i="1"/>
  <c r="N25" i="1"/>
  <c r="M25" i="1"/>
  <c r="S14" i="1"/>
  <c r="R14" i="1"/>
  <c r="T14" i="1"/>
  <c r="N24" i="1"/>
  <c r="M24" i="1"/>
  <c r="O24" i="1"/>
  <c r="M30" i="1"/>
  <c r="O30" i="1"/>
  <c r="N30" i="1"/>
  <c r="AN14" i="1"/>
  <c r="AM14" i="1"/>
  <c r="AO14" i="1"/>
  <c r="AH15" i="1"/>
  <c r="AI15" i="1"/>
  <c r="AJ15" i="1"/>
  <c r="AN18" i="1"/>
  <c r="AO18" i="1"/>
  <c r="AM18" i="1"/>
  <c r="AO11" i="1"/>
  <c r="AM11" i="1"/>
  <c r="AN11" i="1"/>
  <c r="AH24" i="1"/>
  <c r="AI24" i="1"/>
  <c r="AJ24" i="1"/>
  <c r="AM20" i="1"/>
  <c r="AN20" i="1"/>
  <c r="AO20" i="1"/>
  <c r="M14" i="1"/>
  <c r="N14" i="1"/>
  <c r="O14" i="1"/>
  <c r="O9" i="1"/>
  <c r="N9" i="1"/>
  <c r="M9" i="1"/>
  <c r="O8" i="1"/>
  <c r="N8" i="1"/>
  <c r="M8" i="1"/>
  <c r="O20" i="1"/>
  <c r="N20" i="1"/>
  <c r="M20" i="1"/>
  <c r="S18" i="1"/>
  <c r="T18" i="1"/>
  <c r="R18" i="1"/>
  <c r="S8" i="1"/>
  <c r="R8" i="1"/>
  <c r="T8" i="1"/>
  <c r="T9" i="1"/>
  <c r="R9" i="1"/>
  <c r="S9" i="1"/>
  <c r="BI31" i="1"/>
  <c r="BI38" i="1" s="1"/>
  <c r="S40" i="1" s="1"/>
  <c r="S11" i="21" s="1"/>
  <c r="R31" i="1" l="1"/>
  <c r="R38" i="1" s="1"/>
  <c r="S31" i="1"/>
  <c r="S38" i="1" s="1"/>
  <c r="S9" i="21" s="1"/>
  <c r="T31" i="1"/>
  <c r="T38" i="1" s="1"/>
  <c r="AO31" i="1"/>
  <c r="AO38" i="1" s="1"/>
  <c r="T39" i="1" s="1"/>
  <c r="AN31" i="1"/>
  <c r="AN38" i="1" s="1"/>
  <c r="S39" i="1" s="1"/>
  <c r="S10" i="21" s="1"/>
  <c r="AM31" i="1"/>
  <c r="AM38" i="1" s="1"/>
  <c r="R39" i="1" s="1"/>
  <c r="T10" i="21" l="1"/>
  <c r="T9" i="21"/>
  <c r="T12" i="21"/>
  <c r="T13" i="21"/>
  <c r="T11"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Akhil Sud</author>
  </authors>
  <commentList>
    <comment ref="E11" authorId="0" shapeId="0" xr:uid="{8CB893D5-BCC9-45BC-AA5C-12A191B36A1C}">
      <text>
        <r>
          <rPr>
            <sz val="9"/>
            <color indexed="81"/>
            <rFont val="Tahoma"/>
            <family val="2"/>
          </rPr>
          <t>Restaurants, cafes, offices, doctor’s surgeries, retail/ food outlets, butchers, bakeries, newsagencies, service stations, hardware</t>
        </r>
      </text>
    </comment>
    <comment ref="E13" authorId="0" shapeId="0" xr:uid="{7DB2EBA4-FE58-437D-98F4-68D1AADC9D1C}">
      <text>
        <r>
          <rPr>
            <sz val="9"/>
            <color indexed="81"/>
            <rFont val="Tahoma"/>
            <family val="2"/>
          </rPr>
          <t>Chemists, electrical goods, clothing stores, bottle shops, electronics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<sst xmlns="http://schemas.openxmlformats.org/spreadsheetml/2006/main" count="1440" uniqueCount="550">
  <si>
    <t>Annual Average Damage (AAD) Calculation</t>
  </si>
  <si>
    <t>The AAD is defined as the area under the damage probability curve.</t>
  </si>
  <si>
    <t>AEP Event Damage</t>
  </si>
  <si>
    <t>Contribution to AAD</t>
  </si>
  <si>
    <t>TOTAL AAD</t>
  </si>
  <si>
    <t>Annual Exceedence Probability</t>
  </si>
  <si>
    <t>Year</t>
  </si>
  <si>
    <t>AAD</t>
  </si>
  <si>
    <t>Discount Rates</t>
  </si>
  <si>
    <t>Project Details</t>
  </si>
  <si>
    <t>Project Name:</t>
  </si>
  <si>
    <t>Job Number:</t>
  </si>
  <si>
    <t>Date:</t>
  </si>
  <si>
    <t>Details:</t>
  </si>
  <si>
    <t>Client:</t>
  </si>
  <si>
    <t>Client Reference:</t>
  </si>
  <si>
    <t>Cover Image:</t>
  </si>
  <si>
    <t>Document Location:</t>
  </si>
  <si>
    <t>Version History</t>
  </si>
  <si>
    <t>Version</t>
  </si>
  <si>
    <t>Prepared by:</t>
  </si>
  <si>
    <t>Reviewed by:</t>
  </si>
  <si>
    <t>Current Spreadsheet Version:</t>
  </si>
  <si>
    <t>[Insert, as appropriate]</t>
  </si>
  <si>
    <t>Description / Updates / Changes</t>
  </si>
  <si>
    <t>Inflation</t>
  </si>
  <si>
    <t>TOTAL NPV of AAD</t>
  </si>
  <si>
    <t>Total Length of Assessment:</t>
  </si>
  <si>
    <t>years</t>
  </si>
  <si>
    <t>Discount Rates based on NSW Treasury Guidelines, but can be altered to suit project.</t>
  </si>
  <si>
    <t>(Year 0 is the first full year of assessment)</t>
  </si>
  <si>
    <t>AAD Fixed Annual Growth Rate:</t>
  </si>
  <si>
    <t>CPI Sydney level at the end of every calendar year since 1970</t>
  </si>
  <si>
    <t>Calendar Year</t>
  </si>
  <si>
    <t>CPI Level</t>
  </si>
  <si>
    <t>Inflation Rate</t>
  </si>
  <si>
    <t>End of Year</t>
  </si>
  <si>
    <t>Quarter</t>
  </si>
  <si>
    <t>Please input the latest annual CPI Sydney values from the ABS (quarter and annual)</t>
  </si>
  <si>
    <t>Source:</t>
  </si>
  <si>
    <t>6401.0 - Consumer Price Index, Australia</t>
  </si>
  <si>
    <t>(Recommended to keep at zero percent p.a.)</t>
  </si>
  <si>
    <t>Small</t>
  </si>
  <si>
    <t>Medium</t>
  </si>
  <si>
    <t>Large</t>
  </si>
  <si>
    <t>Detached Dwelling (Single Storey House)</t>
  </si>
  <si>
    <t>Detached Dwelling (Double Storey House)</t>
  </si>
  <si>
    <t>Average contents ($)</t>
  </si>
  <si>
    <t>Other</t>
  </si>
  <si>
    <t>Effective Warning Time (hours)</t>
  </si>
  <si>
    <t>External Damages</t>
  </si>
  <si>
    <t>Constantly applied as a baseline to all property types</t>
  </si>
  <si>
    <t>Baseline dollar values (Q4):</t>
  </si>
  <si>
    <t>Structural</t>
  </si>
  <si>
    <t>Tabulation of all residential damage curves.</t>
  </si>
  <si>
    <t>Residential Damage Curve Database</t>
  </si>
  <si>
    <t>External</t>
  </si>
  <si>
    <t>Structural Damages</t>
  </si>
  <si>
    <t>Level (m)</t>
  </si>
  <si>
    <t>Damage Index</t>
  </si>
  <si>
    <t>Detached Dwelling</t>
  </si>
  <si>
    <t>Depth Above Floor Level (m)</t>
  </si>
  <si>
    <t>Average</t>
  </si>
  <si>
    <t>Tabulation of all commercial damage curves.</t>
  </si>
  <si>
    <t>Commercial Damage Curve Database</t>
  </si>
  <si>
    <t>New South Wales</t>
  </si>
  <si>
    <t>Property Data</t>
  </si>
  <si>
    <t>Base Case or Option Number &amp; Description:</t>
  </si>
  <si>
    <t>Survey ID</t>
  </si>
  <si>
    <t>Street Address</t>
  </si>
  <si>
    <t>Storeys</t>
  </si>
  <si>
    <t>Floor Level</t>
  </si>
  <si>
    <t>Ground Level</t>
  </si>
  <si>
    <t>PMF</t>
  </si>
  <si>
    <t>m AHD</t>
  </si>
  <si>
    <t>Commercial / Industrial</t>
  </si>
  <si>
    <t>Double storey</t>
  </si>
  <si>
    <t>Occupied Residential</t>
  </si>
  <si>
    <t>Floods Assessed</t>
  </si>
  <si>
    <t>AEP</t>
  </si>
  <si>
    <t>ARI</t>
  </si>
  <si>
    <t>Damages</t>
  </si>
  <si>
    <t>Properties</t>
  </si>
  <si>
    <t>Flood Level at Property (m AHD) for each AEP Flood</t>
  </si>
  <si>
    <t>Residential Count:</t>
  </si>
  <si>
    <t>Commercial Count:</t>
  </si>
  <si>
    <t>Residential Avg Depth (m):</t>
  </si>
  <si>
    <t>Commercial Avg Depth (m):</t>
  </si>
  <si>
    <t>Results Summary</t>
  </si>
  <si>
    <t>Over Floor Flooding</t>
  </si>
  <si>
    <t>Max Over Floor Depth (m)</t>
  </si>
  <si>
    <t>Residential</t>
  </si>
  <si>
    <t>Commercial</t>
  </si>
  <si>
    <t>Total Damages</t>
  </si>
  <si>
    <t>Summaries:</t>
  </si>
  <si>
    <t>Avg Over Floor Depth (m)</t>
  </si>
  <si>
    <t>Overall Average Depth (m):</t>
  </si>
  <si>
    <t>Commercial Total:</t>
  </si>
  <si>
    <t>Residential Total:</t>
  </si>
  <si>
    <t>Attribution:</t>
  </si>
  <si>
    <t>AAD, per property</t>
  </si>
  <si>
    <t>PMF count</t>
  </si>
  <si>
    <t>Total damages</t>
  </si>
  <si>
    <t>AAD per Property</t>
  </si>
  <si>
    <t>AEP + Breakdown</t>
  </si>
  <si>
    <t>Flooding Count</t>
  </si>
  <si>
    <t>Max Depth</t>
  </si>
  <si>
    <t>Total Count:</t>
  </si>
  <si>
    <t>Combination</t>
  </si>
  <si>
    <t>Average Annual Damage (AAD) and Total Per Property</t>
  </si>
  <si>
    <t>Suburb</t>
  </si>
  <si>
    <t>Avg Above Ground Depth (m)</t>
  </si>
  <si>
    <t>Over Ground Flooding</t>
  </si>
  <si>
    <t>Water Level Calculations</t>
  </si>
  <si>
    <t>Max Over Ground Depth (m)</t>
  </si>
  <si>
    <t>External Damages Depth Threshold (metres)</t>
  </si>
  <si>
    <t>Internal</t>
  </si>
  <si>
    <t xml:space="preserve">Total Damages </t>
  </si>
  <si>
    <t>Total Flood Damages Calculations for all AEPs</t>
  </si>
  <si>
    <t>This section calculates and summarises the water level depths above the surveyed floor &amp; ground level for each property. It does not require any user inputs.</t>
  </si>
  <si>
    <t>This section calculates the floodplain damages and counts the number of properties affected by each AEP event. Please hide any surplus columns.</t>
  </si>
  <si>
    <t>This section reports tabular summaries of all aspects of floodplain damages for all AEP events.</t>
  </si>
  <si>
    <t>Combined Total</t>
  </si>
  <si>
    <t>Internal Damages</t>
  </si>
  <si>
    <t>1 - Single Storey</t>
  </si>
  <si>
    <t>2 - Double Storey</t>
  </si>
  <si>
    <t>Adjusted Damage Index</t>
  </si>
  <si>
    <t>per square metre</t>
  </si>
  <si>
    <t>https://www.abs.gov.au/statistics/economy/price-indexes-and-inflation/consumer-price-index-australia/latest-release</t>
  </si>
  <si>
    <t>Low to Medium</t>
  </si>
  <si>
    <t>Default Average</t>
  </si>
  <si>
    <t>Medium to High</t>
  </si>
  <si>
    <t>Recommended adjustment:</t>
  </si>
  <si>
    <r>
      <t xml:space="preserve">Potential Total Damage (2019, </t>
    </r>
    <r>
      <rPr>
        <b/>
        <sz val="11"/>
        <color theme="0"/>
        <rFont val="Calibri"/>
        <family val="2"/>
        <scheme val="minor"/>
      </rPr>
      <t>$/m2</t>
    </r>
    <r>
      <rPr>
        <sz val="11"/>
        <color theme="0"/>
        <rFont val="Calibri"/>
        <family val="2"/>
        <scheme val="minor"/>
      </rPr>
      <t>)</t>
    </r>
  </si>
  <si>
    <t>Public Buildings</t>
  </si>
  <si>
    <t>Single storey</t>
  </si>
  <si>
    <t>Multi-Unit</t>
  </si>
  <si>
    <t>Townhouse</t>
  </si>
  <si>
    <t>Risk to Life</t>
  </si>
  <si>
    <t>Hazard Rating (HR)</t>
  </si>
  <si>
    <t>Hazard Category</t>
  </si>
  <si>
    <t>N[z]</t>
  </si>
  <si>
    <t>AV</t>
  </si>
  <si>
    <t>Area Vulnerability (AV)</t>
  </si>
  <si>
    <t>People Vulnerability (PV)</t>
  </si>
  <si>
    <t>PV</t>
  </si>
  <si>
    <t>Risk to Life Component</t>
  </si>
  <si>
    <t>HR</t>
  </si>
  <si>
    <t>Hazard Category (H1 - H6)</t>
  </si>
  <si>
    <t>Inputs</t>
  </si>
  <si>
    <t>Annual Average Damage (AAD) Calculation - Structural Damages</t>
  </si>
  <si>
    <t>Notes</t>
  </si>
  <si>
    <t>0.9 recommended, as per the accompanying report.</t>
  </si>
  <si>
    <t>Column</t>
  </si>
  <si>
    <t>Speed of onset + Nature of area + flood warning</t>
  </si>
  <si>
    <t>Speed of Onset</t>
  </si>
  <si>
    <t>{1,2,3}</t>
  </si>
  <si>
    <t>P1</t>
  </si>
  <si>
    <t>P2</t>
  </si>
  <si>
    <t>P3</t>
  </si>
  <si>
    <t>Ranges from 0 to 4, based on Hazard Classification (H1-H6)</t>
  </si>
  <si>
    <t>Max Depth (Floor Level)</t>
  </si>
  <si>
    <t>Flooding Count (Floor Level)</t>
  </si>
  <si>
    <t>Annual Average Damage (AAD) Calculation - Internal Damages</t>
  </si>
  <si>
    <t>Annual Average Damage (AAD) Calculation - External Damages</t>
  </si>
  <si>
    <t>Base Case or Option Number/Name</t>
  </si>
  <si>
    <t>AS</t>
  </si>
  <si>
    <t>--</t>
  </si>
  <si>
    <t>Structure of this Excel Workbook</t>
  </si>
  <si>
    <t>Tab #</t>
  </si>
  <si>
    <t>Name</t>
  </si>
  <si>
    <t>Info</t>
  </si>
  <si>
    <t>NSW</t>
  </si>
  <si>
    <t>Damage Curves - Res</t>
  </si>
  <si>
    <t>Damage Curves - Com</t>
  </si>
  <si>
    <t>AAD Calculation</t>
  </si>
  <si>
    <t>Description</t>
  </si>
  <si>
    <t>Number of Properties</t>
  </si>
  <si>
    <t>This section calculates the risk to life for each AEP event. Please hide any surplus columns.</t>
  </si>
  <si>
    <t>Effective Date</t>
  </si>
  <si>
    <t>The main database requiring a user input; property ID, address, storeys, type (residential/commercial), floor level, ground level, size and the flood level for each tested AEP. Hazard classification (H1-H6) can also be entered to calculate the risk to life.</t>
  </si>
  <si>
    <t>Initial setup for internal review</t>
  </si>
  <si>
    <t>Total Length of Assessment</t>
  </si>
  <si>
    <t>p.a.</t>
  </si>
  <si>
    <t>Internal / Contents</t>
  </si>
  <si>
    <t>---</t>
  </si>
  <si>
    <t>Rate of rise is very gradual (many hours)</t>
  </si>
  <si>
    <t>Rate of rise around and hour or so</t>
  </si>
  <si>
    <t>Rate of rise less than 1 hour</t>
  </si>
  <si>
    <t>Multi-Storey apartments</t>
  </si>
  <si>
    <t>Detached residential dwellings</t>
  </si>
  <si>
    <t>Caravan parks, schools, campsite</t>
  </si>
  <si>
    <t>No effective warning system.</t>
  </si>
  <si>
    <t>Warning system in place, will reach 40% of flood affected population.</t>
  </si>
  <si>
    <t>Warning system in place, will reach 80% of flood affected population.</t>
  </si>
  <si>
    <t>0 – 2 hour warning time</t>
  </si>
  <si>
    <t>&gt; 2 hours warning</t>
  </si>
  <si>
    <t>No education program or understanding of flood warnings</t>
  </si>
  <si>
    <t>Well educated community on flood warnings and actions to undertake</t>
  </si>
  <si>
    <t>{0,0.5,1}</t>
  </si>
  <si>
    <r>
      <t xml:space="preserve">3 </t>
    </r>
    <r>
      <rPr>
        <sz val="11"/>
        <color theme="1"/>
        <rFont val="Courier New"/>
        <family val="3"/>
      </rPr>
      <t>-</t>
    </r>
    <r>
      <rPr>
        <i/>
        <sz val="11"/>
        <color theme="1"/>
        <rFont val="Calibri"/>
        <family val="2"/>
      </rPr>
      <t xml:space="preserve"> (P1 </t>
    </r>
    <r>
      <rPr>
        <sz val="11"/>
        <color theme="1"/>
        <rFont val="Calibri"/>
        <family val="2"/>
      </rPr>
      <t>×</t>
    </r>
    <r>
      <rPr>
        <i/>
        <sz val="11"/>
        <color theme="1"/>
        <rFont val="Calibri"/>
        <family val="2"/>
      </rPr>
      <t xml:space="preserve"> (P2 + P3))</t>
    </r>
    <r>
      <rPr>
        <i/>
        <sz val="11"/>
        <color theme="1"/>
        <rFont val="Calibri"/>
        <family val="2"/>
        <scheme val="minor"/>
      </rPr>
      <t xml:space="preserve">   [calculated from above]</t>
    </r>
  </si>
  <si>
    <t>Code</t>
  </si>
  <si>
    <t>Regional Uplift Factor</t>
  </si>
  <si>
    <t>Default 1.00. Please see guidance in "NSW" tab</t>
  </si>
  <si>
    <t>Relocation Cost</t>
  </si>
  <si>
    <t>Relocation timeframe and approximate cost</t>
  </si>
  <si>
    <t>Duration (Weeks)</t>
  </si>
  <si>
    <t>based on NSW Treasury Guidelines</t>
  </si>
  <si>
    <t>Disclaimer</t>
  </si>
  <si>
    <t>Test1</t>
  </si>
  <si>
    <t>Test2</t>
  </si>
  <si>
    <t>Test3</t>
  </si>
  <si>
    <t>Test4</t>
  </si>
  <si>
    <t>Test5</t>
  </si>
  <si>
    <t>Test6</t>
  </si>
  <si>
    <t>Test7</t>
  </si>
  <si>
    <t>Test8</t>
  </si>
  <si>
    <t>Test9</t>
  </si>
  <si>
    <t>Test10</t>
  </si>
  <si>
    <t>Address DPIE (Elise) comments</t>
  </si>
  <si>
    <t>Analysis dollar values:</t>
  </si>
  <si>
    <t>Size</t>
  </si>
  <si>
    <t>Residential Max (m):</t>
  </si>
  <si>
    <t>Commercial Max (m):</t>
  </si>
  <si>
    <t>Inundation Above Floor Level - Summary</t>
  </si>
  <si>
    <t>Inundation Above Ground Level - Summary</t>
  </si>
  <si>
    <t>Lookups</t>
  </si>
  <si>
    <t>AV: Area Vulnerability; PV: People Vulnerability; HR: Hazard Rating.</t>
  </si>
  <si>
    <t>Various project-specific inputs required to calculate damages. Can be left unchanged, as by default they are set to an average or representative value.</t>
  </si>
  <si>
    <t>Current Year:</t>
  </si>
  <si>
    <t>Lookup</t>
  </si>
  <si>
    <r>
      <t>Replacement Value per m</t>
    </r>
    <r>
      <rPr>
        <i/>
        <vertAlign val="superscript"/>
        <sz val="11"/>
        <color theme="1"/>
        <rFont val="Calibri"/>
        <family val="2"/>
        <scheme val="minor"/>
      </rPr>
      <t>2</t>
    </r>
  </si>
  <si>
    <r>
      <t>Typical Size (m</t>
    </r>
    <r>
      <rPr>
        <i/>
        <vertAlign val="superscript"/>
        <sz val="11"/>
        <color theme="1"/>
        <rFont val="Calibri"/>
        <family val="2"/>
        <scheme val="minor"/>
      </rPr>
      <t>2</t>
    </r>
    <r>
      <rPr>
        <i/>
        <sz val="11"/>
        <color theme="1"/>
        <rFont val="Calibri"/>
        <family val="2"/>
        <scheme val="minor"/>
      </rPr>
      <t>)</t>
    </r>
  </si>
  <si>
    <r>
      <t xml:space="preserve">The number of injuries and fatalities predicted per property is based on the equations provided in the </t>
    </r>
    <r>
      <rPr>
        <i/>
        <sz val="11"/>
        <color theme="1"/>
        <rFont val="Calibri"/>
        <family val="2"/>
        <scheme val="minor"/>
      </rPr>
      <t>Risk to Life</t>
    </r>
    <r>
      <rPr>
        <sz val="11"/>
        <color theme="1"/>
        <rFont val="Calibri"/>
        <family val="2"/>
        <scheme val="minor"/>
      </rPr>
      <t xml:space="preserve"> section of the </t>
    </r>
    <r>
      <rPr>
        <b/>
        <sz val="11"/>
        <color theme="1"/>
        <rFont val="Calibri"/>
        <family val="2"/>
        <scheme val="minor"/>
      </rPr>
      <t>Inputs</t>
    </r>
    <r>
      <rPr>
        <sz val="11"/>
        <color theme="1"/>
        <rFont val="Calibri"/>
        <family val="2"/>
        <scheme val="minor"/>
      </rPr>
      <t xml:space="preserve"> tab.</t>
    </r>
  </si>
  <si>
    <t>Relocation</t>
  </si>
  <si>
    <t>This sheet, displaying the structure of the Excel Workbook, along with a disclaimer with the terms of use.</t>
  </si>
  <si>
    <t>Regional cost variation in different areas of the state of New South Wales.</t>
  </si>
  <si>
    <t>Background information about the project, including job-specific and client-specific details and general QA.</t>
  </si>
  <si>
    <t>The cost of relocating, in terms of weeks.</t>
  </si>
  <si>
    <t>The final calculation and breakdown of floodplain damages (i.e. structural, internal, external, and risk to life).</t>
  </si>
  <si>
    <t>Inflation: Average Weekly Earnings (AWE)</t>
  </si>
  <si>
    <t>Inflation: Consumer Price Index (CPI)</t>
  </si>
  <si>
    <t>AWE Level</t>
  </si>
  <si>
    <t>Baseline dollar values:</t>
  </si>
  <si>
    <t>Bi-Annual</t>
  </si>
  <si>
    <t>Half</t>
  </si>
  <si>
    <t>Please input the latest annual AWE values from the ABS (bi-annual) [ordinary time, full-time adults]</t>
  </si>
  <si>
    <t>https://www.abs.gov.au/statistics/labour/earnings-and-work-hours/average-weekly-earnings-australia/latest-release</t>
  </si>
  <si>
    <t>^ values prior to 1994 are manually adjusted by CPI</t>
  </si>
  <si>
    <t>Note: May need to be set to previous year December value due to timeshift between AWE release and CPI release.</t>
  </si>
  <si>
    <t>Default Average (CPI Adjusted)</t>
  </si>
  <si>
    <r>
      <t>ABS Series ID -</t>
    </r>
    <r>
      <rPr>
        <i/>
        <sz val="11"/>
        <color theme="1"/>
        <rFont val="Calibri"/>
        <family val="2"/>
        <scheme val="minor"/>
      </rPr>
      <t xml:space="preserve"> A85002148L</t>
    </r>
  </si>
  <si>
    <t>This floodplain damages assessment tool was created by Rhelm Pty Ltd on behalf of the Department of Planning, Industry and Environment (DPIE, NSW State Government), in 2021.</t>
  </si>
  <si>
    <t>AWE Australia level at the end of every calendar year since 1970^</t>
  </si>
  <si>
    <t>Use this tab to convert the commercial dollar values used within this spreadsheet to a different calendar year.</t>
  </si>
  <si>
    <t>Use this tab to convert the residential dollar values used within this spreadsheet to a different calendar year.</t>
  </si>
  <si>
    <t>Units</t>
  </si>
  <si>
    <t>Unit</t>
  </si>
  <si>
    <t>Social Willingness to Pay</t>
  </si>
  <si>
    <t>Event ARI (years)</t>
  </si>
  <si>
    <t>Event Probability (AEP)</t>
  </si>
  <si>
    <t>Cost per Household per Year</t>
  </si>
  <si>
    <t>The annual cost per household per year based on the threshold at which overfloor flooding occurs.</t>
  </si>
  <si>
    <t>Residential Single Storey - Structural</t>
  </si>
  <si>
    <t>Residential Double Storey - Structural</t>
  </si>
  <si>
    <t>Residential Single Storey - Internal</t>
  </si>
  <si>
    <t>Residential Double Storey - Internal</t>
  </si>
  <si>
    <t>Limitations</t>
  </si>
  <si>
    <t>Overfloor flooding depth is capped in this spreadsheet tool:
&gt; Three metres for single storey residential properties
&gt; Six metres for double storey residential properties
&gt; Four metres for commercial properties.</t>
  </si>
  <si>
    <t>Residential - Single Storey - Average</t>
  </si>
  <si>
    <t>Residential Double Storey - Average</t>
  </si>
  <si>
    <t>Commercial buildings</t>
  </si>
  <si>
    <t>Infrastructure Damages Uplift</t>
  </si>
  <si>
    <t>Please input up to nine flood event AEPs (without any gaps) to be assessed alongside the Probable Maximum Flood (PMF). 
Any surplus event columns can be hidden throughout the spreadsheet but should not be deleted.</t>
  </si>
  <si>
    <t>Ground floor Units</t>
  </si>
  <si>
    <t>Ground Floor Units</t>
  </si>
  <si>
    <t>Includes indirect costs - cleanup and relocation</t>
  </si>
  <si>
    <t>Internal Damages, for completeness</t>
  </si>
  <si>
    <t>Residential Clean-up Costs</t>
  </si>
  <si>
    <t>Per property, applied if overfloor flooding exists</t>
  </si>
  <si>
    <t>Indirect</t>
  </si>
  <si>
    <t>Damage Curves - Total</t>
  </si>
  <si>
    <t>Number of Residential Properties</t>
  </si>
  <si>
    <t>Commercial Property - Average</t>
  </si>
  <si>
    <t>Annual Average Damage (AAD) Calculation - Intangibles</t>
  </si>
  <si>
    <t>Intangibles</t>
  </si>
  <si>
    <t>Intangibles includes Risk to Life and Social Well Being</t>
  </si>
  <si>
    <t>AEP Event Damage - Risk to Life</t>
  </si>
  <si>
    <t>Contribution to AAD (includes Social Impacts)</t>
  </si>
  <si>
    <t>Commercial damages are inclusive of contents and indirect damages, and are included in the structural damage total</t>
  </si>
  <si>
    <t>Combination of structural and contents of all single storey residential damage curves.</t>
  </si>
  <si>
    <t>Combination of structural and contents of all double storey residential damage curves.</t>
  </si>
  <si>
    <t>of direct actual damages; cleanup costs and loss of trading</t>
  </si>
  <si>
    <t>RST</t>
  </si>
  <si>
    <t>Average Weekly Earnings Australia and Consumer Price Index Sydney, required to calculate damages in present day terms.</t>
  </si>
  <si>
    <t>Default</t>
  </si>
  <si>
    <t>Total Population at Risk</t>
  </si>
  <si>
    <t>Only applies to residential properties</t>
  </si>
  <si>
    <t>https://www.abs.gov.au/statistics/health/disability/disability-ageing-and-carers-australia-summary-findings/latest-release</t>
  </si>
  <si>
    <t>Discount Rate Sensitivity: Lower</t>
  </si>
  <si>
    <t>Discount Rate Sensitivity: Higher</t>
  </si>
  <si>
    <t>AAD Summary &amp; Lookups</t>
  </si>
  <si>
    <t>Summary of residential and commercial damage curves for different property sizes.</t>
  </si>
  <si>
    <t>Damage Curve Database</t>
  </si>
  <si>
    <t>Commercial Properties</t>
  </si>
  <si>
    <t>AEP Event Damage - Total</t>
  </si>
  <si>
    <t>Contribution to AAD - Total</t>
  </si>
  <si>
    <t>Summary Tables and Charts</t>
  </si>
  <si>
    <t>Recommended Default</t>
  </si>
  <si>
    <r>
      <t>Area (m</t>
    </r>
    <r>
      <rPr>
        <b/>
        <vertAlign val="superscript"/>
        <sz val="11"/>
        <color theme="1"/>
        <rFont val="Calibri"/>
        <family val="2"/>
        <scheme val="minor"/>
      </rPr>
      <t>2</t>
    </r>
    <r>
      <rPr>
        <b/>
        <sz val="11"/>
        <color theme="1"/>
        <rFont val="Calibri"/>
        <family val="2"/>
        <scheme val="minor"/>
      </rPr>
      <t>)</t>
    </r>
  </si>
  <si>
    <t>Proportion (%)</t>
  </si>
  <si>
    <t>Damage Curves</t>
  </si>
  <si>
    <t>A summary of residential and commercial damage curves.</t>
  </si>
  <si>
    <t>Recommended</t>
  </si>
  <si>
    <t>Final DPIE comments addressed</t>
  </si>
  <si>
    <t>[update] Aerial image of inundated properties, NSW SES.</t>
  </si>
  <si>
    <t>11 [hidden]</t>
  </si>
  <si>
    <t>12 [hidden]</t>
  </si>
  <si>
    <t>Summary Output</t>
  </si>
  <si>
    <t>Summary graphs and tables that breakdown the overall flood damage and annual average damage into its four components.</t>
  </si>
  <si>
    <t>13 [hidden]</t>
  </si>
  <si>
    <t>Example</t>
  </si>
  <si>
    <t>xxxx</t>
  </si>
  <si>
    <t>Jxxxx</t>
  </si>
  <si>
    <t>Discount Rate: Primary</t>
  </si>
  <si>
    <t>Guide Sections &amp; User Justification</t>
  </si>
  <si>
    <t>Guide Section</t>
  </si>
  <si>
    <t>Estimated cost per Fatality</t>
  </si>
  <si>
    <t>Estimated Cost per Injury</t>
  </si>
  <si>
    <t>N[z] (average people per household)</t>
  </si>
  <si>
    <t>Obtained from ABS</t>
  </si>
  <si>
    <t>Taken from TfNSW</t>
  </si>
  <si>
    <t>Primary Nature of Area</t>
  </si>
  <si>
    <t>{0,1}</t>
  </si>
  <si>
    <t>Example Base Case</t>
  </si>
  <si>
    <t>Total number of properties</t>
  </si>
  <si>
    <t>Use the default size if no data is available.</t>
  </si>
  <si>
    <t>No. of Injuries</t>
  </si>
  <si>
    <t>No. of Fatalities</t>
  </si>
  <si>
    <r>
      <t xml:space="preserve">Note that </t>
    </r>
    <r>
      <rPr>
        <b/>
        <i/>
        <sz val="11"/>
        <color theme="1"/>
        <rFont val="Arial"/>
        <family val="2"/>
      </rPr>
      <t>Commercial</t>
    </r>
    <r>
      <rPr>
        <i/>
        <sz val="11"/>
        <color theme="1"/>
        <rFont val="Arial"/>
        <family val="2"/>
      </rPr>
      <t xml:space="preserve"> damages include structural, internal and indirect damages</t>
    </r>
  </si>
  <si>
    <t>Total</t>
  </si>
  <si>
    <t>This spreadsheet tool has been prepared to assist in the calculation of damages for NSW floodplain projects.  The NSW Department of Industry and Environment (DPIE) and Rhelm are not liable for any inaccuracies in or omissions to information that is provided or analysis that is undertaken. Users should ensure that they review and check all information and calculations undertaken.
The findings and any estimates from this spreadsheet are presented as estimates only and are based on a range of variables and assumptions, as detailed in Rhelm's report (Rhelm, 2021). The report was prepared on the dates shown and is based on the conditions encountered and information received at the time of preparation. Rhelm and DPIE disclaim responsibility for any changes that may have occurred after this time.
In this spreadsheet, Rhelm and DPIE do not purport to give or provide financial advice, financial modelling or forecasting. Nor does it give legal advice. Appropriate specialist advice should be obtained where required. 
Third parties should make their own inquiries and seek advice in relation to their particular requirements and proposed use of the spreadsheet. To the extent permitted by law, Rhelm and DPIE expressly disclaim and exclude any liability for any loss, damage, cost or expenses suffered by any third party relating to or resulting from the use of, or reliance on, any information contained in this report.
This spreadsheet remains the intellectual property of DPIE unless otherwise agreed in writing.</t>
  </si>
  <si>
    <t>10% of residential damages</t>
  </si>
  <si>
    <t>Damage Downscale (Townhouse or Units)</t>
  </si>
  <si>
    <t>30% reduction in structural damage</t>
  </si>
  <si>
    <t>Actual to Potential Ratio</t>
  </si>
  <si>
    <t>3.1.2</t>
  </si>
  <si>
    <t>3.6.2, Table 21</t>
  </si>
  <si>
    <t>3.1.1</t>
  </si>
  <si>
    <t>N/A</t>
  </si>
  <si>
    <t>Flood Warning Factor</t>
  </si>
  <si>
    <t>3.1.1, Table 12</t>
  </si>
  <si>
    <t>3.1.3</t>
  </si>
  <si>
    <t>3.1.5</t>
  </si>
  <si>
    <t>3.5.1, Table 18</t>
  </si>
  <si>
    <t>3.5.1, Table 19</t>
  </si>
  <si>
    <t>{% residents suffering any disability [17.7%] + % aged 75+}, obtained from ABS census data for a particular area</t>
  </si>
  <si>
    <t>Requires input from ABS data</t>
  </si>
  <si>
    <t>Notes / User Justification</t>
  </si>
  <si>
    <t>3.5.2, Table 20</t>
  </si>
  <si>
    <t xml:space="preserve">Full-time adult average weekly ordinary time earnings(a)	</t>
  </si>
  <si>
    <t>Total Damage in a particular ARI / AEP</t>
  </si>
  <si>
    <t>AEP (%)</t>
  </si>
  <si>
    <t>ARI (1 in X years)</t>
  </si>
  <si>
    <t>Residential Damage per Property:</t>
  </si>
  <si>
    <t>Commercial Damage per Property:</t>
  </si>
  <si>
    <t>Total Damage per property:</t>
  </si>
  <si>
    <t>Total Damage (including infrastructure uplift) and Property Count</t>
  </si>
  <si>
    <t xml:space="preserve"> </t>
  </si>
  <si>
    <t>The table below does not account for Social WTP costs</t>
  </si>
  <si>
    <t>0.3 metres by default</t>
  </si>
  <si>
    <t>Non-residential Indirect Costs</t>
  </si>
  <si>
    <t>Non-residential (Commercial) buildings</t>
  </si>
  <si>
    <t>Note: The intangible component of this bar chart only considers Risk-to-Life impacts, and not Social WTP.</t>
  </si>
  <si>
    <t>Hazard category (H1-H6) input that feeds into the Risk to Life calculation. These columns (or particular AEPs) can be left blank and hidden if not required, or if Hazard data is unavailable.</t>
  </si>
  <si>
    <t xml:space="preserve">3.2, Table 14 </t>
  </si>
  <si>
    <t xml:space="preserve">Overall total damage curves (structural + internal/contents) applied in this spreadsheet tool. This tab is hidden. </t>
  </si>
  <si>
    <t xml:space="preserve">Collection of residential damage curves (structural and internal/contents) for single and double storey dwellings. This tab is hidden. </t>
  </si>
  <si>
    <t xml:space="preserve">The recommended commercial damage curves for different value-classes. This tab is hidden. </t>
  </si>
  <si>
    <t>Extend formula down, as appropriate</t>
  </si>
  <si>
    <t>(selected by user in the "Inputs" tab)</t>
  </si>
  <si>
    <t>How to use the Flood Damage Tool</t>
  </si>
  <si>
    <t>Welcome to the Flood Damage Tool. 
This tool can be used to calculate residential and commercial flood damages for a study area. Use of the tool provides as means for consistent and comparible assessment of flood damages across NSW.  
The following table summarises the different worksheets in the tool and what they do. More detailed instructions are included in each worksheet. 
To simplify use of this tool, some cells have been locked for editing. This ensures that critical values and formulas are not changed by mistake. 
Cells where users need to add or change data have been highlighted with red text.</t>
  </si>
  <si>
    <t>xx-xx-xxx</t>
  </si>
  <si>
    <t xml:space="preserve">Use this tab to identify the region where the study area is located. </t>
  </si>
  <si>
    <t>Provide any justifications or reasons for changing of default input values.</t>
  </si>
  <si>
    <t>Adjust the parameters in column C if required. 
Provide justification for any changes to column C by filling in column M</t>
  </si>
  <si>
    <t>Use this tab to adjust parameters as required to fit conditions in the study area. Column C uses average or representative value by default. They should not be changed without justification (column M)</t>
  </si>
  <si>
    <t>Regional cost variations are differences in costs that are experienced in different regions of the state. 
The state of NSW can be split into three land divisions, which form the basis for recommended (but not compulsory) adjustments as a result of variations in regional cost:
&gt; 0%: Sydney metropolitan, as well as the area bounded by Newcastle in the north, the Blue Mountains in the west and Canberra/Ulladulla in the south
&gt; 0%: Albury and Wagga Wagga
&gt; 5%: Eastern Land Division north of Newcastle
&gt; 10%: Eastern Land Division south of Canberra/Ulladulla
&gt; 10%: Central Land Division, excluding Albury and Wagga Wagga
&gt; 20%: Western Land Division.</t>
  </si>
  <si>
    <t>No change is required on this tab</t>
  </si>
  <si>
    <t>xx</t>
  </si>
  <si>
    <t>To extend the formulas down for the complete dataset, please highlight and drag down the last row in this worksheet far enough to include all properties prior to adding property data and levels.</t>
  </si>
  <si>
    <t>Enter values if known</t>
  </si>
  <si>
    <t xml:space="preserve">Number of ground floor units, if applicable. Otherwise equal to one. </t>
  </si>
  <si>
    <t>AEP event or PMF</t>
  </si>
  <si>
    <t>Damage/cost components</t>
  </si>
  <si>
    <t>No. of properties flooded above ground</t>
  </si>
  <si>
    <t xml:space="preserve">No. of properties flooded above floor </t>
  </si>
  <si>
    <t>Contents</t>
  </si>
  <si>
    <t xml:space="preserve">External </t>
  </si>
  <si>
    <t xml:space="preserve">Relocation </t>
  </si>
  <si>
    <t xml:space="preserve">Clean-up </t>
  </si>
  <si>
    <t>Social and wellbeing</t>
  </si>
  <si>
    <t>Vehicles at home</t>
  </si>
  <si>
    <t>Total area – base case</t>
  </si>
  <si>
    <t>Total AAD</t>
  </si>
  <si>
    <t>No. of properties flooded above floor</t>
  </si>
  <si>
    <t>Total floor area flooded</t>
  </si>
  <si>
    <t>Structure &amp; contents</t>
  </si>
  <si>
    <t>Clean-up</t>
  </si>
  <si>
    <t>Vehicles at work</t>
  </si>
  <si>
    <t>Damages / costs</t>
  </si>
  <si>
    <t>No. of fatalities</t>
  </si>
  <si>
    <t>No. of injuries</t>
  </si>
  <si>
    <t>Fatalities</t>
  </si>
  <si>
    <t>Injuries</t>
  </si>
  <si>
    <t xml:space="preserve">Specific facilities </t>
  </si>
  <si>
    <t>Agricultural</t>
  </si>
  <si>
    <t>Environmental</t>
  </si>
  <si>
    <t xml:space="preserve">Travel time </t>
  </si>
  <si>
    <t>Base case</t>
  </si>
  <si>
    <t>No change is required in this section</t>
  </si>
  <si>
    <t>This section provides a cross reference to the accompanying guide for Flood Risk Management Measures (DPIE, 2021)</t>
  </si>
  <si>
    <t>Example Tables for Reporting Flood Damages</t>
  </si>
  <si>
    <t>No change is required in this section. This reporting format is consistent with the recommendations in the accompanying guide for Flood Risk Management Measures (DPIE, 2021)</t>
  </si>
  <si>
    <t>Residential Damage Summary</t>
  </si>
  <si>
    <t>Commercial and Industrial Damage Summary</t>
  </si>
  <si>
    <t>Other Costs</t>
  </si>
  <si>
    <t>Update cell E8 with the year at the time of the study. No other cells need to be changed</t>
  </si>
  <si>
    <t>Update cell S8 with the quarter at the time of the study. No other cells need to be changed</t>
  </si>
  <si>
    <t>Enter the regional cost variation factor (default 1.00) into cell C9 of the "Inputs" tab.</t>
  </si>
  <si>
    <t>Property Types (Codes for column H)</t>
  </si>
  <si>
    <t>Size 
(cells K14 -Q15)</t>
  </si>
  <si>
    <t>Type
(cells B8 -F13)</t>
  </si>
  <si>
    <t>Test11</t>
  </si>
  <si>
    <t>Test12</t>
  </si>
  <si>
    <t>Test13</t>
  </si>
  <si>
    <t>Test14</t>
  </si>
  <si>
    <t>Test15</t>
  </si>
  <si>
    <t>Test16</t>
  </si>
  <si>
    <t>Test17</t>
  </si>
  <si>
    <t>Test18</t>
  </si>
  <si>
    <t>Test19</t>
  </si>
  <si>
    <t>Test20</t>
  </si>
  <si>
    <t>Test21</t>
  </si>
  <si>
    <t>Test22</t>
  </si>
  <si>
    <t>Test23</t>
  </si>
  <si>
    <t>Test24</t>
  </si>
  <si>
    <t>Test25</t>
  </si>
  <si>
    <t>Test26</t>
  </si>
  <si>
    <t>Test27</t>
  </si>
  <si>
    <t>Test28</t>
  </si>
  <si>
    <t>Test29</t>
  </si>
  <si>
    <t>Test30</t>
  </si>
  <si>
    <t>Test31</t>
  </si>
  <si>
    <t>Test32</t>
  </si>
  <si>
    <t>Test33</t>
  </si>
  <si>
    <t>Test34</t>
  </si>
  <si>
    <t>Test35</t>
  </si>
  <si>
    <t>Test36</t>
  </si>
  <si>
    <t>Test37</t>
  </si>
  <si>
    <t>Test38</t>
  </si>
  <si>
    <t>Test39</t>
  </si>
  <si>
    <t>Test40</t>
  </si>
  <si>
    <t>Test41</t>
  </si>
  <si>
    <t>Test42</t>
  </si>
  <si>
    <t>Test43</t>
  </si>
  <si>
    <t>Test44</t>
  </si>
  <si>
    <t>Test45</t>
  </si>
  <si>
    <t>Test46</t>
  </si>
  <si>
    <t>Test47</t>
  </si>
  <si>
    <t>Test48</t>
  </si>
  <si>
    <t>Test49</t>
  </si>
  <si>
    <t>Test50</t>
  </si>
  <si>
    <t>Test51</t>
  </si>
  <si>
    <t>Test52</t>
  </si>
  <si>
    <t>Test53</t>
  </si>
  <si>
    <t>Test54</t>
  </si>
  <si>
    <t>Test55</t>
  </si>
  <si>
    <t>Test56</t>
  </si>
  <si>
    <t>Test57</t>
  </si>
  <si>
    <t>Test58</t>
  </si>
  <si>
    <t>Test59</t>
  </si>
  <si>
    <t>Test60</t>
  </si>
  <si>
    <t>Test61</t>
  </si>
  <si>
    <t>Test62</t>
  </si>
  <si>
    <t>Test63</t>
  </si>
  <si>
    <t>Test64</t>
  </si>
  <si>
    <t>Test65</t>
  </si>
  <si>
    <t>Test66</t>
  </si>
  <si>
    <t>Test67</t>
  </si>
  <si>
    <t>Test68</t>
  </si>
  <si>
    <t>Test69</t>
  </si>
  <si>
    <t>Test70</t>
  </si>
  <si>
    <t>Test71</t>
  </si>
  <si>
    <t>Test72</t>
  </si>
  <si>
    <t>Test73</t>
  </si>
  <si>
    <t>Test74</t>
  </si>
  <si>
    <t>Test75</t>
  </si>
  <si>
    <t>Test76</t>
  </si>
  <si>
    <t>Test77</t>
  </si>
  <si>
    <t>Test78</t>
  </si>
  <si>
    <t>Test79</t>
  </si>
  <si>
    <t>Test80</t>
  </si>
  <si>
    <t>Test81</t>
  </si>
  <si>
    <t>Test82</t>
  </si>
  <si>
    <t>Test83</t>
  </si>
  <si>
    <t>Test84</t>
  </si>
  <si>
    <t>Test85</t>
  </si>
  <si>
    <t>Test86</t>
  </si>
  <si>
    <t>Test87</t>
  </si>
  <si>
    <t>Test88</t>
  </si>
  <si>
    <t>Test89</t>
  </si>
  <si>
    <t>Test90</t>
  </si>
  <si>
    <t>Test91</t>
  </si>
  <si>
    <t>Test92</t>
  </si>
  <si>
    <t>Test93</t>
  </si>
  <si>
    <t>Test94</t>
  </si>
  <si>
    <t>Test95</t>
  </si>
  <si>
    <t>Test96</t>
  </si>
  <si>
    <t>Test97</t>
  </si>
  <si>
    <t>Test98</t>
  </si>
  <si>
    <t>Test99</t>
  </si>
  <si>
    <t>Test100</t>
  </si>
  <si>
    <t>Test101</t>
  </si>
  <si>
    <t>Test102</t>
  </si>
  <si>
    <t>Test103</t>
  </si>
  <si>
    <t>Test104</t>
  </si>
  <si>
    <t>Test105</t>
  </si>
  <si>
    <t>Test106</t>
  </si>
  <si>
    <t>Test107</t>
  </si>
  <si>
    <t>Test108</t>
  </si>
  <si>
    <t>Test109</t>
  </si>
  <si>
    <t>Test110</t>
  </si>
  <si>
    <t>Test111</t>
  </si>
  <si>
    <t>Test112</t>
  </si>
  <si>
    <t>Test113</t>
  </si>
  <si>
    <t>Test114</t>
  </si>
  <si>
    <t>Test115</t>
  </si>
  <si>
    <t>Test116</t>
  </si>
  <si>
    <t>Test117</t>
  </si>
  <si>
    <t>Test118</t>
  </si>
  <si>
    <t>Test119</t>
  </si>
  <si>
    <t>Input property data (columns A to K), flood levels (column L to U), and hazard categories if available (columns V to AE). This will feed into the calculation of flood damages. Duplicate and rename this tab for other options or scenarios.</t>
  </si>
  <si>
    <t>* This is an example of the output that can be provided. It is still being developed and will auto-populate with summary data in the final version of the spreadsheet</t>
  </si>
  <si>
    <t>Contribution to AAD total</t>
  </si>
  <si>
    <t>Loss of trading</t>
  </si>
  <si>
    <t>Contribution of Intangible damages to AAD total</t>
  </si>
  <si>
    <r>
      <t xml:space="preserve">This spreadsheet is the accompanying tool to the document:
</t>
    </r>
    <r>
      <rPr>
        <b/>
        <i/>
        <u/>
        <sz val="11"/>
        <color theme="1"/>
        <rFont val="Calibri"/>
        <family val="2"/>
        <scheme val="minor"/>
      </rPr>
      <t>Flood Risk Management Measures: Flood Risk Management Guide</t>
    </r>
  </si>
  <si>
    <t>This Draft Tool is not to be used for flood damage assessment as it is undergoing refinement and testing.  The final tool will be made available with the final Flood Risk Management Measures Guide (MM01)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</si>
</sst>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44" formatCode="_-&quot;$&quot;* #,##0.00_-;\-&quot;$&quot;* #,##0.00_-;_-&quot;$&quot;* &quot;-&quot;??_-;_-@_-"/>
    <numFmt numFmtId="43" formatCode="_-* #,##0.00_-;\-* #,##0.00_-;_-* &quot;-&quot;??_-;_-@_-"/>
    <numFmt numFmtId="164" formatCode="0.000%"/>
    <numFmt numFmtId="165" formatCode="_(&quot;$&quot;* #,##0_);_(&quot;$&quot;* \(#,##0\);_(&quot;$&quot;* &quot;-&quot;??_);_(@_)"/>
    <numFmt numFmtId="166" formatCode="0.0%"/>
    <numFmt numFmtId="167" formatCode="&quot;$&quot;#,##0"/>
    <numFmt numFmtId="168" formatCode="mmm\-yyyy"/>
    <numFmt numFmtId="169" formatCode="0.0;\-0.0;0.0;@"/>
    <numFmt numFmtId="170" formatCode="[$-C09]dd\-mmmm\-yyyy;@"/>
    <numFmt numFmtId="171" formatCode="0.000"/>
    <numFmt numFmtId="172" formatCode="_-&quot;$&quot;* #,##0_-;\-&quot;$&quot;* #,##0_-;_-&quot;$&quot;* &quot;-&quot;??_-;_-@_-"/>
    <numFmt numFmtId="173" formatCode="0.0"/>
    <numFmt numFmtId="174" formatCode="_-* #,##0.0000_-;\-* #,##0.0000_-;_-* &quot;-&quot;??_-;_-@_-"/>
    <numFmt numFmtId="175" formatCode="[$-C09]dd\-mmm\-yy;@"/>
    <numFmt numFmtId="176" formatCode="#,##0.0"/>
  </numFmts>
  <fonts count="80"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sz val="10"/>
      <color theme="1"/>
      <name val="Calibri"/>
      <family val="2"/>
      <scheme val="minor"/>
    </font>
    <font>
      <b/>
      <sz val="11"/>
      <color theme="0"/>
      <name val="Calibri"/>
      <family val="2"/>
      <scheme val="minor"/>
    </font>
    <font>
      <u/>
      <sz val="11"/>
      <color theme="10"/>
      <name val="Calibri"/>
      <family val="2"/>
      <scheme val="minor"/>
    </font>
    <font>
      <b/>
      <sz val="18"/>
      <color theme="1"/>
      <name val="Calibri"/>
      <family val="2"/>
      <scheme val="minor"/>
    </font>
    <font>
      <b/>
      <i/>
      <sz val="11"/>
      <color theme="1"/>
      <name val="Calibri"/>
      <family val="2"/>
      <scheme val="minor"/>
    </font>
    <font>
      <i/>
      <sz val="11"/>
      <color theme="0"/>
      <name val="Calibri"/>
      <family val="2"/>
      <scheme val="minor"/>
    </font>
    <font>
      <b/>
      <sz val="10"/>
      <color theme="1"/>
      <name val="Calibri"/>
      <family val="2"/>
      <scheme val="minor"/>
    </font>
    <font>
      <b/>
      <sz val="12"/>
      <color theme="1"/>
      <name val="Calibri"/>
      <family val="2"/>
      <scheme val="minor"/>
    </font>
    <font>
      <i/>
      <u/>
      <sz val="9"/>
      <color theme="10"/>
      <name val="Calibri"/>
      <family val="2"/>
      <scheme val="minor"/>
    </font>
    <font>
      <b/>
      <i/>
      <sz val="10"/>
      <color indexed="8"/>
      <name val="Calibri"/>
      <family val="2"/>
      <scheme val="minor"/>
    </font>
    <font>
      <b/>
      <i/>
      <sz val="10"/>
      <color theme="1"/>
      <name val="Calibri"/>
      <family val="2"/>
      <scheme val="minor"/>
    </font>
    <font>
      <i/>
      <sz val="10"/>
      <color theme="0"/>
      <name val="Calibri"/>
      <family val="2"/>
      <scheme val="minor"/>
    </font>
    <font>
      <i/>
      <sz val="11"/>
      <color rgb="FF7F7F7F"/>
      <name val="Calibri"/>
      <family val="2"/>
      <scheme val="minor"/>
    </font>
    <font>
      <sz val="8"/>
      <color theme="1"/>
      <name val="Arial"/>
      <family val="2"/>
    </font>
    <font>
      <sz val="10"/>
      <color theme="1"/>
      <name val="Arial"/>
      <family val="2"/>
    </font>
    <font>
      <b/>
      <sz val="10"/>
      <color theme="1"/>
      <name val="Arial"/>
      <family val="2"/>
    </font>
    <font>
      <sz val="11"/>
      <name val="Calibri"/>
      <family val="2"/>
    </font>
    <font>
      <sz val="9"/>
      <color indexed="81"/>
      <name val="Tahoma"/>
      <family val="2"/>
    </font>
    <font>
      <b/>
      <u/>
      <sz val="11"/>
      <color theme="0"/>
      <name val="Calibri"/>
      <family val="2"/>
      <scheme val="minor"/>
    </font>
    <font>
      <sz val="11"/>
      <name val="Calibri"/>
      <family val="2"/>
      <scheme val="minor"/>
    </font>
    <font>
      <b/>
      <sz val="11"/>
      <name val="Calibri"/>
      <family val="2"/>
      <scheme val="minor"/>
    </font>
    <font>
      <sz val="11"/>
      <color theme="0"/>
      <name val="Calibri"/>
      <family val="2"/>
    </font>
    <font>
      <b/>
      <sz val="11"/>
      <color theme="0"/>
      <name val="Calibri"/>
      <family val="2"/>
    </font>
    <font>
      <b/>
      <sz val="11"/>
      <name val="Calibri"/>
      <family val="2"/>
    </font>
    <font>
      <i/>
      <sz val="11"/>
      <color theme="5"/>
      <name val="Calibri"/>
      <family val="2"/>
      <scheme val="minor"/>
    </font>
    <font>
      <sz val="10"/>
      <color theme="5"/>
      <name val="Calibri"/>
      <family val="2"/>
      <scheme val="minor"/>
    </font>
    <font>
      <b/>
      <i/>
      <sz val="11"/>
      <color theme="8" tint="-0.249977111117893"/>
      <name val="Calibri"/>
      <family val="2"/>
      <scheme val="minor"/>
    </font>
    <font>
      <sz val="8"/>
      <name val="Calibri"/>
      <family val="2"/>
      <scheme val="minor"/>
    </font>
    <font>
      <b/>
      <sz val="11"/>
      <color theme="4"/>
      <name val="Calibri"/>
      <family val="2"/>
      <scheme val="minor"/>
    </font>
    <font>
      <sz val="9"/>
      <name val="Calibri"/>
      <family val="2"/>
      <scheme val="minor"/>
    </font>
    <font>
      <sz val="9"/>
      <color theme="1"/>
      <name val="Calibri"/>
      <family val="2"/>
      <scheme val="minor"/>
    </font>
    <font>
      <b/>
      <i/>
      <sz val="11"/>
      <color theme="0"/>
      <name val="Calibri"/>
      <family val="2"/>
      <scheme val="minor"/>
    </font>
    <font>
      <b/>
      <sz val="14"/>
      <color theme="0"/>
      <name val="Calibri"/>
      <family val="2"/>
      <scheme val="minor"/>
    </font>
    <font>
      <sz val="11"/>
      <color theme="1"/>
      <name val="Arial"/>
      <family val="2"/>
    </font>
    <font>
      <i/>
      <sz val="11"/>
      <color theme="1"/>
      <name val="Arial"/>
      <family val="2"/>
    </font>
    <font>
      <b/>
      <sz val="14"/>
      <color theme="1"/>
      <name val="Calibri"/>
      <family val="2"/>
      <scheme val="minor"/>
    </font>
    <font>
      <b/>
      <i/>
      <sz val="11"/>
      <color theme="1" tint="0.499984740745262"/>
      <name val="Calibri"/>
      <family val="2"/>
      <scheme val="minor"/>
    </font>
    <font>
      <i/>
      <sz val="11"/>
      <color theme="1" tint="0.499984740745262"/>
      <name val="Calibri"/>
      <family val="2"/>
      <scheme val="minor"/>
    </font>
    <font>
      <b/>
      <sz val="10"/>
      <color rgb="FFFFFFFF"/>
      <name val="Calibri"/>
      <family val="2"/>
      <scheme val="minor"/>
    </font>
    <font>
      <i/>
      <sz val="11"/>
      <color theme="0" tint="-0.249977111117893"/>
      <name val="Calibri"/>
      <family val="2"/>
      <scheme val="minor"/>
    </font>
    <font>
      <sz val="11"/>
      <color theme="1"/>
      <name val="Courier New"/>
      <family val="3"/>
    </font>
    <font>
      <i/>
      <sz val="11"/>
      <color theme="1"/>
      <name val="Calibri"/>
      <family val="2"/>
    </font>
    <font>
      <sz val="11"/>
      <color theme="1"/>
      <name val="Calibri"/>
      <family val="2"/>
    </font>
    <font>
      <b/>
      <i/>
      <sz val="11"/>
      <color theme="4" tint="0.59999389629810485"/>
      <name val="Calibri"/>
      <family val="2"/>
      <scheme val="minor"/>
    </font>
    <font>
      <b/>
      <sz val="14"/>
      <color theme="4" tint="-0.249977111117893"/>
      <name val="Calibri"/>
      <family val="2"/>
      <scheme val="minor"/>
    </font>
    <font>
      <b/>
      <sz val="11"/>
      <color theme="3"/>
      <name val="Calibri"/>
      <family val="2"/>
      <scheme val="minor"/>
    </font>
    <font>
      <b/>
      <i/>
      <u/>
      <sz val="11"/>
      <color theme="1"/>
      <name val="Calibri"/>
      <family val="2"/>
      <scheme val="minor"/>
    </font>
    <font>
      <sz val="8"/>
      <color rgb="FF000000"/>
      <name val="Calibri"/>
      <family val="2"/>
      <scheme val="minor"/>
    </font>
    <font>
      <sz val="8"/>
      <color theme="1"/>
      <name val="Calibri"/>
      <family val="2"/>
      <scheme val="minor"/>
    </font>
    <font>
      <i/>
      <sz val="11"/>
      <color theme="4"/>
      <name val="Arial"/>
      <family val="2"/>
    </font>
    <font>
      <i/>
      <sz val="11"/>
      <color theme="4"/>
      <name val="Calibri"/>
      <family val="2"/>
      <scheme val="minor"/>
    </font>
    <font>
      <sz val="10"/>
      <name val="Calibri"/>
      <family val="2"/>
      <scheme val="minor"/>
    </font>
    <font>
      <i/>
      <sz val="9"/>
      <color theme="1"/>
      <name val="Calibri"/>
      <family val="2"/>
      <scheme val="minor"/>
    </font>
    <font>
      <i/>
      <sz val="10"/>
      <color theme="1"/>
      <name val="Arial"/>
      <family val="2"/>
    </font>
    <font>
      <i/>
      <vertAlign val="superscript"/>
      <sz val="11"/>
      <color theme="1"/>
      <name val="Calibri"/>
      <family val="2"/>
      <scheme val="minor"/>
    </font>
    <font>
      <i/>
      <sz val="9"/>
      <color rgb="FF7F7F7F"/>
      <name val="Calibri"/>
      <family val="2"/>
      <scheme val="minor"/>
    </font>
    <font>
      <b/>
      <i/>
      <sz val="10"/>
      <color theme="1"/>
      <name val="Arial"/>
      <family val="2"/>
    </font>
    <font>
      <i/>
      <sz val="11"/>
      <name val="Calibri"/>
      <family val="2"/>
    </font>
    <font>
      <b/>
      <sz val="10"/>
      <color rgb="FF262626"/>
      <name val="Calibri"/>
      <family val="2"/>
      <scheme val="minor"/>
    </font>
    <font>
      <sz val="10"/>
      <color rgb="FF262626"/>
      <name val="Calibri"/>
      <family val="2"/>
      <scheme val="minor"/>
    </font>
    <font>
      <i/>
      <sz val="9"/>
      <color theme="1"/>
      <name val="Arial"/>
      <family val="2"/>
    </font>
    <font>
      <b/>
      <i/>
      <sz val="11"/>
      <color theme="1"/>
      <name val="Arial"/>
      <family val="2"/>
    </font>
    <font>
      <i/>
      <u/>
      <sz val="8"/>
      <color theme="10"/>
      <name val="Calibri"/>
      <family val="2"/>
      <scheme val="minor"/>
    </font>
    <font>
      <i/>
      <sz val="11"/>
      <color theme="4" tint="0.59999389629810485"/>
      <name val="Calibri"/>
      <family val="2"/>
      <scheme val="minor"/>
    </font>
    <font>
      <b/>
      <vertAlign val="superscript"/>
      <sz val="11"/>
      <color theme="1"/>
      <name val="Calibri"/>
      <family val="2"/>
      <scheme val="minor"/>
    </font>
    <font>
      <b/>
      <sz val="11"/>
      <color rgb="FFFA7D00"/>
      <name val="Calibri"/>
      <family val="2"/>
      <scheme val="minor"/>
    </font>
    <font>
      <sz val="11"/>
      <color rgb="FFFF0000"/>
      <name val="Calibri"/>
      <family val="2"/>
      <scheme val="minor"/>
    </font>
    <font>
      <b/>
      <sz val="11"/>
      <color rgb="FFFF0000"/>
      <name val="Calibri"/>
      <family val="2"/>
      <scheme val="minor"/>
    </font>
    <font>
      <sz val="10"/>
      <color rgb="FFFF0000"/>
      <name val="Calibri"/>
      <family val="2"/>
      <scheme val="minor"/>
    </font>
    <font>
      <b/>
      <sz val="14"/>
      <color rgb="FFFF0000"/>
      <name val="Calibri"/>
      <family val="2"/>
      <scheme val="minor"/>
    </font>
    <font>
      <b/>
      <i/>
      <sz val="11"/>
      <color rgb="FF7F7F7F"/>
      <name val="Calibri"/>
      <family val="2"/>
      <scheme val="minor"/>
    </font>
    <font>
      <b/>
      <sz val="10"/>
      <color rgb="FFFF0000"/>
      <name val="Calibri"/>
      <family val="2"/>
      <scheme val="minor"/>
    </font>
    <font>
      <i/>
      <sz val="11"/>
      <color rgb="FFFF0000"/>
      <name val="Calibri"/>
      <family val="2"/>
      <scheme val="minor"/>
    </font>
    <font>
      <b/>
      <sz val="12"/>
      <name val="Calibri"/>
      <family val="2"/>
      <scheme val="minor"/>
    </font>
    <font>
      <b/>
      <sz val="12"/>
      <color rgb="FFFF0000"/>
      <name val="Calibri"/>
      <family val="2"/>
      <scheme val="minor"/>
    </font>
  </fonts>
  <fills count="55">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39997558519241921"/>
        <bgColor indexed="65"/>
      </patternFill>
    </fill>
    <fill>
      <patternFill patternType="solid">
        <fgColor theme="7" tint="0.59999389629810485"/>
        <bgColor indexed="64"/>
      </patternFill>
    </fill>
    <fill>
      <patternFill patternType="solid">
        <fgColor theme="6"/>
      </patternFill>
    </fill>
    <fill>
      <patternFill patternType="solid">
        <fgColor theme="9" tint="0.79998168889431442"/>
        <bgColor indexed="65"/>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6"/>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8"/>
      </patternFill>
    </fill>
    <fill>
      <patternFill patternType="solid">
        <fgColor theme="5" tint="0.79998168889431442"/>
        <bgColor indexed="6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4"/>
        <bgColor indexed="64"/>
      </patternFill>
    </fill>
    <fill>
      <patternFill patternType="solid">
        <fgColor theme="3" tint="0.79998168889431442"/>
        <bgColor indexed="64"/>
      </patternFill>
    </fill>
    <fill>
      <patternFill patternType="solid">
        <fgColor theme="9"/>
      </patternFill>
    </fill>
    <fill>
      <patternFill patternType="solid">
        <fgColor theme="9" tint="0.79998168889431442"/>
        <bgColor indexed="64"/>
      </patternFill>
    </fill>
    <fill>
      <patternFill patternType="solid">
        <fgColor theme="9"/>
        <bgColor indexed="64"/>
      </patternFill>
    </fill>
    <fill>
      <patternFill patternType="solid">
        <fgColor theme="8"/>
        <bgColor theme="8"/>
      </patternFill>
    </fill>
    <fill>
      <patternFill patternType="solid">
        <fgColor theme="8" tint="0.59999389629810485"/>
        <bgColor indexed="64"/>
      </patternFill>
    </fill>
    <fill>
      <patternFill patternType="solid">
        <fgColor theme="8" tint="-0.249977111117893"/>
        <bgColor indexed="64"/>
      </patternFill>
    </fill>
    <fill>
      <patternFill patternType="solid">
        <fgColor theme="5"/>
        <bgColor indexed="64"/>
      </patternFill>
    </fill>
    <fill>
      <patternFill patternType="solid">
        <fgColor theme="1"/>
        <bgColor indexed="64"/>
      </patternFill>
    </fill>
    <fill>
      <patternFill patternType="solid">
        <fgColor theme="8" tint="0.39997558519241921"/>
        <bgColor indexed="65"/>
      </patternFill>
    </fill>
    <fill>
      <patternFill patternType="solid">
        <fgColor theme="1" tint="0.499984740745262"/>
        <bgColor indexed="64"/>
      </patternFill>
    </fill>
    <fill>
      <patternFill patternType="solid">
        <fgColor theme="3" tint="0.59999389629810485"/>
        <bgColor indexed="64"/>
      </patternFill>
    </fill>
    <fill>
      <patternFill patternType="solid">
        <fgColor theme="3"/>
        <bgColor indexed="64"/>
      </patternFill>
    </fill>
    <fill>
      <patternFill patternType="solid">
        <fgColor rgb="FF403F6F"/>
        <bgColor indexed="64"/>
      </patternFill>
    </fill>
    <fill>
      <patternFill patternType="solid">
        <fgColor rgb="FFFFFFFF"/>
        <bgColor indexed="64"/>
      </patternFill>
    </fill>
    <fill>
      <patternFill patternType="solid">
        <fgColor theme="5" tint="0.79998168889431442"/>
        <bgColor indexed="65"/>
      </patternFill>
    </fill>
    <fill>
      <patternFill patternType="solid">
        <fgColor theme="7"/>
        <bgColor indexed="64"/>
      </patternFill>
    </fill>
    <fill>
      <patternFill patternType="solid">
        <fgColor theme="8" tint="0.59999389629810485"/>
        <bgColor indexed="65"/>
      </patternFill>
    </fill>
    <fill>
      <patternFill patternType="solid">
        <fgColor rgb="FFFFFFCC"/>
      </patternFill>
    </fill>
    <fill>
      <patternFill patternType="solid">
        <fgColor rgb="FFF2F2F2"/>
      </patternFill>
    </fill>
    <fill>
      <patternFill patternType="solid">
        <fgColor theme="6" tint="-0.249977111117893"/>
        <bgColor indexed="64"/>
      </patternFill>
    </fill>
    <fill>
      <patternFill patternType="solid">
        <fgColor theme="7" tint="0.79998168889431442"/>
        <bgColor indexed="64"/>
      </patternFill>
    </fill>
    <fill>
      <patternFill patternType="solid">
        <fgColor theme="9" tint="0.59999389629810485"/>
        <bgColor indexed="65"/>
      </patternFill>
    </fill>
    <fill>
      <patternFill patternType="solid">
        <fgColor theme="9" tint="0.59996337778862885"/>
        <bgColor indexed="64"/>
      </patternFill>
    </fill>
    <fill>
      <patternFill patternType="solid">
        <fgColor theme="7" tint="0.59996337778862885"/>
        <bgColor indexed="64"/>
      </patternFill>
    </fill>
    <fill>
      <patternFill patternType="solid">
        <fgColor theme="0" tint="-4.9989318521683403E-2"/>
        <bgColor indexed="64"/>
      </patternFill>
    </fill>
  </fills>
  <borders count="125">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theme="0"/>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theme="8" tint="-0.249977111117893"/>
      </left>
      <right/>
      <top style="medium">
        <color theme="8" tint="-0.249977111117893"/>
      </top>
      <bottom/>
      <diagonal/>
    </border>
    <border>
      <left/>
      <right style="medium">
        <color theme="8" tint="-0.249977111117893"/>
      </right>
      <top style="medium">
        <color theme="8" tint="-0.249977111117893"/>
      </top>
      <bottom/>
      <diagonal/>
    </border>
    <border>
      <left style="medium">
        <color theme="8" tint="-0.249977111117893"/>
      </left>
      <right/>
      <top/>
      <bottom style="medium">
        <color theme="8" tint="-0.249977111117893"/>
      </bottom>
      <diagonal/>
    </border>
    <border>
      <left/>
      <right style="medium">
        <color theme="8" tint="-0.249977111117893"/>
      </right>
      <top/>
      <bottom style="medium">
        <color theme="8" tint="-0.249977111117893"/>
      </bottom>
      <diagonal/>
    </border>
    <border>
      <left style="medium">
        <color theme="8" tint="-0.249977111117893"/>
      </left>
      <right/>
      <top/>
      <bottom/>
      <diagonal/>
    </border>
    <border>
      <left/>
      <right style="medium">
        <color theme="8" tint="-0.249977111117893"/>
      </right>
      <top/>
      <bottom/>
      <diagonal/>
    </border>
    <border>
      <left/>
      <right/>
      <top/>
      <bottom style="thin">
        <color indexed="64"/>
      </bottom>
      <diagonal/>
    </border>
    <border>
      <left style="medium">
        <color theme="8" tint="-0.249977111117893"/>
      </left>
      <right/>
      <top style="medium">
        <color theme="8" tint="-0.249977111117893"/>
      </top>
      <bottom style="medium">
        <color theme="8" tint="-0.249977111117893"/>
      </bottom>
      <diagonal/>
    </border>
    <border>
      <left/>
      <right/>
      <top style="medium">
        <color theme="8" tint="-0.249977111117893"/>
      </top>
      <bottom style="medium">
        <color theme="8" tint="-0.249977111117893"/>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right/>
      <top style="thin">
        <color theme="8"/>
      </top>
      <bottom/>
      <diagonal/>
    </border>
    <border>
      <left/>
      <right style="medium">
        <color theme="8" tint="-0.249977111117893"/>
      </right>
      <top style="medium">
        <color indexed="64"/>
      </top>
      <bottom/>
      <diagonal/>
    </border>
    <border>
      <left style="medium">
        <color theme="8" tint="-0.249977111117893"/>
      </left>
      <right/>
      <top style="medium">
        <color indexed="64"/>
      </top>
      <bottom/>
      <diagonal/>
    </border>
    <border>
      <left style="medium">
        <color indexed="64"/>
      </left>
      <right/>
      <top/>
      <bottom style="medium">
        <color theme="8" tint="-0.249977111117893"/>
      </bottom>
      <diagonal/>
    </border>
    <border>
      <left/>
      <right style="medium">
        <color indexed="64"/>
      </right>
      <top/>
      <bottom style="medium">
        <color theme="8" tint="-0.249977111117893"/>
      </bottom>
      <diagonal/>
    </border>
    <border>
      <left style="medium">
        <color indexed="64"/>
      </left>
      <right/>
      <top style="medium">
        <color theme="8" tint="-0.249977111117893"/>
      </top>
      <bottom style="medium">
        <color theme="8" tint="-0.249977111117893"/>
      </bottom>
      <diagonal/>
    </border>
    <border>
      <left/>
      <right style="medium">
        <color indexed="64"/>
      </right>
      <top style="medium">
        <color theme="8" tint="-0.249977111117893"/>
      </top>
      <bottom style="medium">
        <color theme="8" tint="-0.249977111117893"/>
      </bottom>
      <diagonal/>
    </border>
    <border>
      <left style="medium">
        <color indexed="64"/>
      </left>
      <right/>
      <top style="medium">
        <color theme="8" tint="-0.249977111117893"/>
      </top>
      <bottom/>
      <diagonal/>
    </border>
    <border>
      <left/>
      <right style="medium">
        <color indexed="64"/>
      </right>
      <top style="medium">
        <color theme="8" tint="-0.249977111117893"/>
      </top>
      <bottom/>
      <diagonal/>
    </border>
    <border>
      <left/>
      <right style="medium">
        <color theme="8" tint="-0.249977111117893"/>
      </right>
      <top/>
      <bottom style="medium">
        <color indexed="64"/>
      </bottom>
      <diagonal/>
    </border>
    <border>
      <left style="medium">
        <color theme="8" tint="-0.249977111117893"/>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theme="8" tint="-0.249977111117893"/>
      </right>
      <top style="medium">
        <color theme="8" tint="-0.249977111117893"/>
      </top>
      <bottom style="medium">
        <color theme="8" tint="-0.249977111117893"/>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403F6F"/>
      </left>
      <right/>
      <top style="medium">
        <color rgb="FF403F6F"/>
      </top>
      <bottom/>
      <diagonal/>
    </border>
    <border>
      <left/>
      <right/>
      <top style="medium">
        <color rgb="FF403F6F"/>
      </top>
      <bottom/>
      <diagonal/>
    </border>
    <border>
      <left/>
      <right style="medium">
        <color rgb="FF403F6F"/>
      </right>
      <top style="medium">
        <color rgb="FF403F6F"/>
      </top>
      <bottom/>
      <diagonal/>
    </border>
    <border>
      <left style="medium">
        <color rgb="FF403F6F"/>
      </left>
      <right/>
      <top style="medium">
        <color rgb="FF403F6F"/>
      </top>
      <bottom style="medium">
        <color rgb="FF403F6F"/>
      </bottom>
      <diagonal/>
    </border>
    <border>
      <left/>
      <right/>
      <top style="medium">
        <color rgb="FF403F6F"/>
      </top>
      <bottom style="medium">
        <color rgb="FF403F6F"/>
      </bottom>
      <diagonal/>
    </border>
    <border>
      <left/>
      <right style="medium">
        <color rgb="FF403F6F"/>
      </right>
      <top style="medium">
        <color rgb="FF403F6F"/>
      </top>
      <bottom style="medium">
        <color rgb="FF403F6F"/>
      </bottom>
      <diagonal/>
    </border>
    <border>
      <left/>
      <right/>
      <top style="thin">
        <color theme="4"/>
      </top>
      <bottom style="thin">
        <color theme="4"/>
      </bottom>
      <diagonal/>
    </border>
    <border>
      <left style="medium">
        <color indexed="64"/>
      </left>
      <right/>
      <top style="medium">
        <color rgb="FF403F6F"/>
      </top>
      <bottom style="medium">
        <color indexed="64"/>
      </bottom>
      <diagonal/>
    </border>
    <border>
      <left/>
      <right/>
      <top style="medium">
        <color rgb="FF403F6F"/>
      </top>
      <bottom style="medium">
        <color indexed="64"/>
      </bottom>
      <diagonal/>
    </border>
    <border>
      <left/>
      <right style="medium">
        <color indexed="64"/>
      </right>
      <top style="medium">
        <color rgb="FF403F6F"/>
      </top>
      <bottom style="medium">
        <color indexed="64"/>
      </bottom>
      <diagonal/>
    </border>
    <border>
      <left style="medium">
        <color rgb="FF403F6F"/>
      </left>
      <right/>
      <top/>
      <bottom style="medium">
        <color rgb="FF403F6F"/>
      </bottom>
      <diagonal/>
    </border>
    <border>
      <left/>
      <right/>
      <top/>
      <bottom style="medium">
        <color rgb="FF403F6F"/>
      </bottom>
      <diagonal/>
    </border>
    <border>
      <left/>
      <right style="medium">
        <color rgb="FF403F6F"/>
      </right>
      <top/>
      <bottom style="medium">
        <color rgb="FF403F6F"/>
      </bottom>
      <diagonal/>
    </border>
    <border>
      <left style="medium">
        <color rgb="FF403F6F"/>
      </left>
      <right/>
      <top/>
      <bottom/>
      <diagonal/>
    </border>
    <border>
      <left/>
      <right style="medium">
        <color rgb="FF403F6F"/>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theme="8"/>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thin">
        <color rgb="FFB2B2B2"/>
      </left>
      <right style="thin">
        <color rgb="FFB2B2B2"/>
      </right>
      <top style="thin">
        <color rgb="FFB2B2B2"/>
      </top>
      <bottom style="thin">
        <color rgb="FFB2B2B2"/>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theme="6" tint="-0.24994659260841701"/>
      </left>
      <right style="medium">
        <color theme="6" tint="-0.24994659260841701"/>
      </right>
      <top style="medium">
        <color theme="6" tint="-0.24994659260841701"/>
      </top>
      <bottom style="medium">
        <color theme="6" tint="-0.24994659260841701"/>
      </bottom>
      <diagonal/>
    </border>
    <border>
      <left/>
      <right/>
      <top style="medium">
        <color theme="6" tint="-0.24994659260841701"/>
      </top>
      <bottom style="medium">
        <color theme="6" tint="-0.24994659260841701"/>
      </bottom>
      <diagonal/>
    </border>
    <border>
      <left/>
      <right style="medium">
        <color theme="6" tint="-0.24994659260841701"/>
      </right>
      <top style="medium">
        <color theme="6" tint="-0.24994659260841701"/>
      </top>
      <bottom style="medium">
        <color theme="6" tint="-0.24994659260841701"/>
      </bottom>
      <diagonal/>
    </border>
    <border>
      <left style="thin">
        <color rgb="FF7F7F7F"/>
      </left>
      <right style="thin">
        <color rgb="FF7F7F7F"/>
      </right>
      <top style="thin">
        <color rgb="FF7F7F7F"/>
      </top>
      <bottom style="thin">
        <color rgb="FF7F7F7F"/>
      </bottom>
      <diagonal/>
    </border>
    <border>
      <left style="medium">
        <color theme="8" tint="-0.249977111117893"/>
      </left>
      <right style="medium">
        <color indexed="64"/>
      </right>
      <top style="medium">
        <color indexed="64"/>
      </top>
      <bottom/>
      <diagonal/>
    </border>
    <border>
      <left style="medium">
        <color theme="8" tint="-0.249977111117893"/>
      </left>
      <right style="medium">
        <color indexed="64"/>
      </right>
      <top/>
      <bottom/>
      <diagonal/>
    </border>
    <border>
      <left style="medium">
        <color theme="8" tint="-0.249977111117893"/>
      </left>
      <right style="medium">
        <color indexed="64"/>
      </right>
      <top/>
      <bottom style="medium">
        <color indexed="64"/>
      </bottom>
      <diagonal/>
    </border>
    <border>
      <left style="medium">
        <color theme="8" tint="-0.249977111117893"/>
      </left>
      <right/>
      <top style="medium">
        <color indexed="64"/>
      </top>
      <bottom style="medium">
        <color indexed="64"/>
      </bottom>
      <diagonal/>
    </border>
    <border>
      <left style="medium">
        <color theme="8" tint="-0.249977111117893"/>
      </left>
      <right style="medium">
        <color indexed="64"/>
      </right>
      <top style="medium">
        <color indexed="64"/>
      </top>
      <bottom style="medium">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diagonal/>
    </border>
    <border>
      <left style="thin">
        <color rgb="FF7F7F7F"/>
      </left>
      <right style="thin">
        <color rgb="FF7F7F7F"/>
      </right>
      <top/>
      <bottom style="thin">
        <color rgb="FF7F7F7F"/>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theme="4"/>
      </top>
      <bottom style="thin">
        <color theme="4"/>
      </bottom>
      <diagonal/>
    </border>
    <border>
      <left/>
      <right style="medium">
        <color indexed="64"/>
      </right>
      <top style="thin">
        <color theme="4"/>
      </top>
      <bottom style="thin">
        <color theme="4"/>
      </bottom>
      <diagonal/>
    </border>
    <border>
      <left style="medium">
        <color indexed="64"/>
      </left>
      <right/>
      <top style="thin">
        <color theme="4"/>
      </top>
      <bottom style="medium">
        <color indexed="64"/>
      </bottom>
      <diagonal/>
    </border>
    <border>
      <left/>
      <right/>
      <top style="thin">
        <color theme="4"/>
      </top>
      <bottom style="medium">
        <color indexed="64"/>
      </bottom>
      <diagonal/>
    </border>
    <border>
      <left/>
      <right style="medium">
        <color indexed="64"/>
      </right>
      <top style="thin">
        <color theme="4"/>
      </top>
      <bottom style="medium">
        <color indexed="64"/>
      </bottom>
      <diagonal/>
    </border>
  </borders>
  <cellStyleXfs count="26">
    <xf numFmtId="0" fontId="0" fillId="0" borderId="0"/>
    <xf numFmtId="44" fontId="1" fillId="0" borderId="0" applyFont="0" applyFill="0" applyBorder="0" applyAlignment="0" applyProtection="0"/>
    <xf numFmtId="9" fontId="1" fillId="0" borderId="0" applyFont="0" applyFill="0" applyBorder="0" applyAlignment="0" applyProtection="0"/>
    <xf numFmtId="0" fontId="3" fillId="2"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7" fillId="0" borderId="0" applyNumberFormat="0" applyFill="0" applyBorder="0" applyAlignment="0" applyProtection="0"/>
    <xf numFmtId="0" fontId="3" fillId="10" borderId="0" applyNumberFormat="0" applyBorder="0" applyAlignment="0" applyProtection="0"/>
    <xf numFmtId="0" fontId="1" fillId="11" borderId="0" applyNumberFormat="0" applyBorder="0" applyAlignment="0" applyProtection="0"/>
    <xf numFmtId="0" fontId="17" fillId="0" borderId="0" applyNumberFormat="0" applyFill="0" applyBorder="0" applyAlignment="0" applyProtection="0"/>
    <xf numFmtId="0" fontId="3"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 fillId="30" borderId="0" applyNumberFormat="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50" fillId="0" borderId="0" applyNumberFormat="0" applyFill="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98" applyNumberFormat="0" applyFont="0" applyAlignment="0" applyProtection="0"/>
    <xf numFmtId="0" fontId="70" fillId="48" borderId="104" applyNumberFormat="0" applyAlignment="0" applyProtection="0"/>
    <xf numFmtId="0" fontId="1" fillId="51" borderId="0" applyNumberFormat="0" applyBorder="0" applyAlignment="0" applyProtection="0"/>
  </cellStyleXfs>
  <cellXfs count="803">
    <xf numFmtId="0" fontId="0" fillId="0" borderId="0" xfId="0"/>
    <xf numFmtId="167" fontId="5" fillId="0" borderId="12" xfId="1" applyNumberFormat="1" applyFont="1" applyBorder="1"/>
    <xf numFmtId="167" fontId="5" fillId="0" borderId="15" xfId="1" applyNumberFormat="1" applyFont="1" applyBorder="1"/>
    <xf numFmtId="167" fontId="5" fillId="0" borderId="16" xfId="1" applyNumberFormat="1" applyFont="1" applyBorder="1"/>
    <xf numFmtId="167" fontId="5" fillId="0" borderId="17" xfId="1" applyNumberFormat="1" applyFont="1" applyBorder="1"/>
    <xf numFmtId="0" fontId="0" fillId="0" borderId="1" xfId="0" applyBorder="1"/>
    <xf numFmtId="0" fontId="0" fillId="0" borderId="2" xfId="0" applyBorder="1"/>
    <xf numFmtId="0" fontId="0" fillId="0" borderId="6" xfId="0" applyBorder="1"/>
    <xf numFmtId="0" fontId="0" fillId="0" borderId="3" xfId="0" applyBorder="1"/>
    <xf numFmtId="0" fontId="0" fillId="0" borderId="7" xfId="0" applyBorder="1"/>
    <xf numFmtId="0" fontId="4" fillId="0" borderId="0" xfId="0" applyFont="1" applyBorder="1"/>
    <xf numFmtId="0" fontId="0" fillId="0" borderId="0" xfId="0" applyBorder="1"/>
    <xf numFmtId="0" fontId="0" fillId="0" borderId="4" xfId="0" applyBorder="1"/>
    <xf numFmtId="0" fontId="0" fillId="0" borderId="5" xfId="0" applyBorder="1"/>
    <xf numFmtId="0" fontId="0" fillId="0" borderId="8" xfId="0" applyBorder="1"/>
    <xf numFmtId="0" fontId="0" fillId="0" borderId="0" xfId="0" applyAlignment="1">
      <alignment horizontal="right"/>
    </xf>
    <xf numFmtId="0" fontId="0" fillId="0" borderId="0" xfId="0" applyBorder="1" applyAlignment="1">
      <alignment horizontal="right"/>
    </xf>
    <xf numFmtId="0" fontId="4" fillId="8" borderId="0" xfId="9" applyFont="1" applyBorder="1" applyAlignment="1">
      <alignment horizontal="right"/>
    </xf>
    <xf numFmtId="0" fontId="0" fillId="0" borderId="5" xfId="0" applyBorder="1" applyAlignment="1">
      <alignment horizontal="right"/>
    </xf>
    <xf numFmtId="0" fontId="4" fillId="0" borderId="0" xfId="0" applyFont="1" applyBorder="1" applyAlignment="1">
      <alignment horizontal="right"/>
    </xf>
    <xf numFmtId="0" fontId="1" fillId="7" borderId="0" xfId="8" applyBorder="1"/>
    <xf numFmtId="0" fontId="4" fillId="7" borderId="0" xfId="8" applyFont="1" applyBorder="1" applyAlignment="1">
      <alignment horizontal="right"/>
    </xf>
    <xf numFmtId="0" fontId="10" fillId="2" borderId="0" xfId="3" applyFont="1" applyBorder="1" applyAlignment="1">
      <alignment horizontal="right"/>
    </xf>
    <xf numFmtId="0" fontId="11" fillId="0" borderId="12" xfId="0" applyFont="1" applyBorder="1" applyAlignment="1">
      <alignment horizontal="right" vertical="center"/>
    </xf>
    <xf numFmtId="0" fontId="11" fillId="0" borderId="12" xfId="0" applyFont="1" applyBorder="1" applyAlignment="1">
      <alignment vertical="center"/>
    </xf>
    <xf numFmtId="0" fontId="11" fillId="0" borderId="12" xfId="0" applyFont="1" applyBorder="1" applyAlignment="1">
      <alignment horizontal="center" vertical="center"/>
    </xf>
    <xf numFmtId="0" fontId="11" fillId="0" borderId="12" xfId="0" applyFont="1" applyFill="1" applyBorder="1" applyAlignment="1">
      <alignment horizontal="center" vertical="center"/>
    </xf>
    <xf numFmtId="0" fontId="4" fillId="5" borderId="3" xfId="6" applyFont="1" applyBorder="1"/>
    <xf numFmtId="0" fontId="4" fillId="5" borderId="4" xfId="6" applyFont="1" applyBorder="1"/>
    <xf numFmtId="0" fontId="9" fillId="15" borderId="3" xfId="6" applyFont="1" applyFill="1" applyBorder="1" applyAlignment="1">
      <alignment horizontal="center" vertical="center"/>
    </xf>
    <xf numFmtId="167" fontId="5" fillId="0" borderId="12" xfId="12" applyNumberFormat="1" applyFont="1" applyFill="1" applyBorder="1"/>
    <xf numFmtId="167" fontId="5" fillId="0" borderId="16" xfId="12" applyNumberFormat="1" applyFont="1" applyFill="1" applyBorder="1"/>
    <xf numFmtId="0" fontId="2" fillId="16" borderId="0" xfId="7" applyFont="1" applyFill="1" applyBorder="1" applyAlignment="1">
      <alignment vertical="center"/>
    </xf>
    <xf numFmtId="9" fontId="2" fillId="16" borderId="0" xfId="7" applyNumberFormat="1" applyFont="1" applyFill="1" applyBorder="1" applyAlignment="1">
      <alignment vertical="center"/>
    </xf>
    <xf numFmtId="0" fontId="13" fillId="0" borderId="0" xfId="10" applyFont="1" applyBorder="1"/>
    <xf numFmtId="168" fontId="18" fillId="0" borderId="0" xfId="0" applyNumberFormat="1" applyFont="1" applyAlignment="1">
      <alignment horizontal="left"/>
    </xf>
    <xf numFmtId="169" fontId="18" fillId="0" borderId="0" xfId="0" applyNumberFormat="1" applyFont="1"/>
    <xf numFmtId="0" fontId="2" fillId="15" borderId="27" xfId="0" applyFont="1" applyFill="1" applyBorder="1" applyAlignment="1">
      <alignment horizontal="center" wrapText="1"/>
    </xf>
    <xf numFmtId="0" fontId="2" fillId="21" borderId="0" xfId="0" applyFont="1" applyFill="1" applyBorder="1" applyAlignment="1">
      <alignment horizontal="center" vertical="center" wrapText="1"/>
    </xf>
    <xf numFmtId="0" fontId="2" fillId="22" borderId="0" xfId="0" applyFont="1" applyFill="1" applyBorder="1" applyAlignment="1">
      <alignment horizontal="center" vertical="center" wrapText="1"/>
    </xf>
    <xf numFmtId="0" fontId="10" fillId="0" borderId="3" xfId="13" applyFont="1" applyBorder="1"/>
    <xf numFmtId="0" fontId="10" fillId="0" borderId="0" xfId="13" applyFont="1" applyBorder="1"/>
    <xf numFmtId="0" fontId="0" fillId="0" borderId="12" xfId="0" applyFill="1" applyBorder="1"/>
    <xf numFmtId="0" fontId="2" fillId="0" borderId="12" xfId="4" applyFont="1" applyFill="1" applyBorder="1" applyAlignment="1">
      <alignment horizontal="center" vertical="center"/>
    </xf>
    <xf numFmtId="167" fontId="0" fillId="0" borderId="12" xfId="0" applyNumberFormat="1" applyFill="1" applyBorder="1"/>
    <xf numFmtId="0" fontId="0" fillId="0" borderId="12" xfId="0" applyFill="1" applyBorder="1" applyAlignment="1">
      <alignment horizontal="right"/>
    </xf>
    <xf numFmtId="0" fontId="4" fillId="0" borderId="0" xfId="0" applyFont="1"/>
    <xf numFmtId="0" fontId="0" fillId="0" borderId="0" xfId="0" applyAlignment="1">
      <alignment wrapText="1"/>
    </xf>
    <xf numFmtId="0" fontId="0" fillId="0" borderId="0" xfId="0" applyAlignment="1">
      <alignment horizontal="center" vertical="center" wrapText="1"/>
    </xf>
    <xf numFmtId="171" fontId="0" fillId="0" borderId="0" xfId="0" applyNumberFormat="1" applyAlignment="1">
      <alignment horizontal="center" vertical="center" wrapText="1"/>
    </xf>
    <xf numFmtId="2" fontId="0" fillId="0" borderId="0" xfId="0" applyNumberFormat="1"/>
    <xf numFmtId="0" fontId="0" fillId="0" borderId="30" xfId="0" applyBorder="1"/>
    <xf numFmtId="0" fontId="0" fillId="0" borderId="33" xfId="0" applyBorder="1"/>
    <xf numFmtId="0" fontId="0" fillId="0" borderId="33" xfId="0" applyBorder="1" applyAlignment="1">
      <alignment vertical="center"/>
    </xf>
    <xf numFmtId="0" fontId="0" fillId="0" borderId="0" xfId="0" applyAlignment="1">
      <alignment vertical="center"/>
    </xf>
    <xf numFmtId="2" fontId="21" fillId="0" borderId="31" xfId="0" applyNumberFormat="1" applyFont="1" applyBorder="1" applyAlignment="1">
      <alignment vertical="center"/>
    </xf>
    <xf numFmtId="167" fontId="21" fillId="0" borderId="12" xfId="0" applyNumberFormat="1" applyFont="1" applyBorder="1" applyAlignment="1">
      <alignment vertical="center"/>
    </xf>
    <xf numFmtId="2" fontId="21" fillId="0" borderId="32" xfId="0" applyNumberFormat="1" applyFont="1" applyBorder="1" applyAlignment="1">
      <alignment vertical="center"/>
    </xf>
    <xf numFmtId="0" fontId="0" fillId="0" borderId="0" xfId="0" applyAlignment="1">
      <alignment horizontal="center" vertical="center"/>
    </xf>
    <xf numFmtId="0" fontId="2" fillId="0" borderId="0" xfId="0" applyFont="1" applyAlignment="1">
      <alignment horizontal="center" vertical="center" wrapText="1"/>
    </xf>
    <xf numFmtId="0" fontId="4" fillId="0" borderId="0" xfId="0" applyFont="1" applyAlignment="1">
      <alignment vertical="center"/>
    </xf>
    <xf numFmtId="0" fontId="6" fillId="24" borderId="3" xfId="14" applyFont="1" applyBorder="1" applyAlignment="1">
      <alignment horizontal="center" vertical="center"/>
    </xf>
    <xf numFmtId="0" fontId="0" fillId="14" borderId="19" xfId="0" applyFill="1" applyBorder="1" applyAlignment="1">
      <alignment vertical="center"/>
    </xf>
    <xf numFmtId="0" fontId="0" fillId="18" borderId="12" xfId="0" applyFill="1" applyBorder="1" applyAlignment="1">
      <alignment vertical="center"/>
    </xf>
    <xf numFmtId="0" fontId="0" fillId="14" borderId="12" xfId="0" applyFill="1" applyBorder="1" applyAlignment="1">
      <alignment vertical="center"/>
    </xf>
    <xf numFmtId="0" fontId="6" fillId="24" borderId="4" xfId="14" applyFont="1" applyBorder="1" applyAlignment="1">
      <alignment horizontal="center" vertical="center"/>
    </xf>
    <xf numFmtId="0" fontId="0" fillId="17" borderId="5" xfId="0" applyFill="1" applyBorder="1" applyAlignment="1">
      <alignment horizontal="center" vertical="center"/>
    </xf>
    <xf numFmtId="0" fontId="0" fillId="14" borderId="20" xfId="0" applyFill="1" applyBorder="1" applyAlignment="1">
      <alignment vertical="center"/>
    </xf>
    <xf numFmtId="0" fontId="0" fillId="18" borderId="16" xfId="0" applyFill="1" applyBorder="1" applyAlignment="1">
      <alignment vertical="center"/>
    </xf>
    <xf numFmtId="0" fontId="0" fillId="14" borderId="16" xfId="0" applyFill="1" applyBorder="1" applyAlignment="1">
      <alignment vertical="center"/>
    </xf>
    <xf numFmtId="0" fontId="2" fillId="0" borderId="0" xfId="0" applyFont="1" applyAlignment="1">
      <alignment vertical="center"/>
    </xf>
    <xf numFmtId="0" fontId="2" fillId="0" borderId="0" xfId="0" applyFont="1" applyAlignment="1">
      <alignment horizontal="right" vertical="center"/>
    </xf>
    <xf numFmtId="0" fontId="2" fillId="0" borderId="0" xfId="0" applyFont="1" applyAlignment="1">
      <alignment horizontal="center" vertical="center"/>
    </xf>
    <xf numFmtId="0" fontId="4" fillId="0" borderId="0" xfId="0" applyFont="1" applyAlignment="1">
      <alignment horizontal="right" vertical="center"/>
    </xf>
    <xf numFmtId="0" fontId="0" fillId="0" borderId="0" xfId="0" applyBorder="1" applyAlignment="1">
      <alignment horizontal="center" vertical="center"/>
    </xf>
    <xf numFmtId="0" fontId="6" fillId="0" borderId="0" xfId="0" applyFont="1" applyAlignment="1">
      <alignment horizontal="center" vertical="center" wrapText="1"/>
    </xf>
    <xf numFmtId="0" fontId="6" fillId="0" borderId="0" xfId="0" applyFont="1" applyBorder="1" applyAlignment="1">
      <alignment horizontal="center" vertical="center" wrapText="1"/>
    </xf>
    <xf numFmtId="172" fontId="6" fillId="0" borderId="0" xfId="1" applyNumberFormat="1" applyFont="1" applyBorder="1" applyAlignment="1">
      <alignment horizontal="center" vertical="center" wrapText="1"/>
    </xf>
    <xf numFmtId="0" fontId="24" fillId="0" borderId="0" xfId="0" applyFont="1" applyAlignment="1">
      <alignment vertical="center"/>
    </xf>
    <xf numFmtId="167" fontId="24" fillId="0" borderId="0" xfId="1" applyNumberFormat="1" applyFont="1" applyAlignment="1">
      <alignment vertical="center"/>
    </xf>
    <xf numFmtId="167" fontId="21" fillId="0" borderId="0" xfId="0" applyNumberFormat="1" applyFont="1" applyBorder="1" applyAlignment="1">
      <alignment horizontal="center" vertical="center"/>
    </xf>
    <xf numFmtId="2" fontId="0" fillId="0" borderId="0" xfId="0" applyNumberFormat="1" applyBorder="1" applyAlignment="1">
      <alignment horizontal="center" vertical="center"/>
    </xf>
    <xf numFmtId="171" fontId="0" fillId="0" borderId="0" xfId="0" applyNumberFormat="1" applyBorder="1" applyAlignment="1">
      <alignment horizontal="center" vertical="center"/>
    </xf>
    <xf numFmtId="167" fontId="0" fillId="0" borderId="38" xfId="0" applyNumberFormat="1" applyBorder="1" applyAlignment="1">
      <alignment horizontal="center" vertical="center"/>
    </xf>
    <xf numFmtId="167" fontId="0" fillId="0" borderId="40" xfId="0" applyNumberFormat="1" applyBorder="1" applyAlignment="1">
      <alignment horizontal="center" vertical="center"/>
    </xf>
    <xf numFmtId="0" fontId="28" fillId="0" borderId="0" xfId="0" applyFont="1" applyBorder="1" applyAlignment="1">
      <alignment horizontal="left" vertical="center"/>
    </xf>
    <xf numFmtId="2" fontId="21" fillId="0" borderId="0" xfId="0" applyNumberFormat="1" applyFont="1" applyBorder="1" applyAlignment="1">
      <alignment horizontal="center" vertical="center"/>
    </xf>
    <xf numFmtId="166" fontId="28" fillId="0" borderId="0" xfId="0" applyNumberFormat="1" applyFont="1" applyBorder="1" applyAlignment="1">
      <alignment horizontal="left" vertical="center"/>
    </xf>
    <xf numFmtId="0" fontId="31" fillId="0" borderId="0" xfId="0" applyFont="1" applyAlignment="1">
      <alignment vertical="center"/>
    </xf>
    <xf numFmtId="0" fontId="24" fillId="0" borderId="0" xfId="0" applyNumberFormat="1" applyFont="1" applyAlignment="1">
      <alignment vertical="center"/>
    </xf>
    <xf numFmtId="172" fontId="24" fillId="0" borderId="0" xfId="1" applyNumberFormat="1" applyFont="1" applyAlignment="1">
      <alignment vertical="center"/>
    </xf>
    <xf numFmtId="0" fontId="25" fillId="17" borderId="30" xfId="0" applyFont="1" applyFill="1" applyBorder="1" applyAlignment="1">
      <alignment horizontal="right" vertical="center"/>
    </xf>
    <xf numFmtId="2" fontId="24" fillId="17" borderId="30" xfId="0" applyNumberFormat="1" applyFont="1" applyFill="1" applyBorder="1" applyAlignment="1">
      <alignment vertical="center"/>
    </xf>
    <xf numFmtId="167" fontId="24" fillId="17" borderId="30" xfId="1" applyNumberFormat="1" applyFont="1" applyFill="1" applyBorder="1" applyAlignment="1">
      <alignment vertical="center"/>
    </xf>
    <xf numFmtId="0" fontId="24" fillId="0" borderId="0" xfId="0" applyFont="1" applyAlignment="1">
      <alignment horizontal="right" vertical="center"/>
    </xf>
    <xf numFmtId="2" fontId="24" fillId="0" borderId="0" xfId="0" applyNumberFormat="1" applyFont="1" applyAlignment="1">
      <alignment vertical="center"/>
    </xf>
    <xf numFmtId="166" fontId="24" fillId="17" borderId="30" xfId="0" applyNumberFormat="1" applyFont="1" applyFill="1" applyBorder="1" applyAlignment="1">
      <alignment horizontal="right" vertical="center"/>
    </xf>
    <xf numFmtId="2" fontId="24" fillId="0" borderId="42" xfId="0" applyNumberFormat="1" applyFont="1" applyBorder="1" applyAlignment="1">
      <alignment vertical="center"/>
    </xf>
    <xf numFmtId="0" fontId="24" fillId="0" borderId="42" xfId="0" applyFont="1" applyBorder="1" applyAlignment="1">
      <alignment horizontal="right" vertical="center"/>
    </xf>
    <xf numFmtId="167" fontId="24" fillId="0" borderId="42" xfId="1" applyNumberFormat="1" applyFont="1" applyBorder="1" applyAlignment="1">
      <alignment vertical="center"/>
    </xf>
    <xf numFmtId="0" fontId="0" fillId="17" borderId="4" xfId="0" applyFill="1" applyBorder="1" applyAlignment="1">
      <alignment horizontal="center" vertical="center"/>
    </xf>
    <xf numFmtId="0" fontId="0" fillId="17" borderId="8" xfId="0" applyFill="1" applyBorder="1" applyAlignment="1">
      <alignment horizontal="center" vertical="center"/>
    </xf>
    <xf numFmtId="0" fontId="2" fillId="0" borderId="0" xfId="0" applyFont="1" applyBorder="1" applyAlignment="1">
      <alignment horizontal="center" vertical="center"/>
    </xf>
    <xf numFmtId="167" fontId="0" fillId="17" borderId="0" xfId="0" applyNumberFormat="1" applyFill="1" applyAlignment="1">
      <alignment vertical="center"/>
    </xf>
    <xf numFmtId="164" fontId="33" fillId="17" borderId="3" xfId="2" applyNumberFormat="1" applyFont="1" applyFill="1" applyBorder="1" applyAlignment="1">
      <alignment horizontal="center" vertical="center" wrapText="1"/>
    </xf>
    <xf numFmtId="166" fontId="33" fillId="17" borderId="0" xfId="0" applyNumberFormat="1" applyFont="1" applyFill="1" applyBorder="1" applyAlignment="1">
      <alignment horizontal="center" vertical="center" wrapText="1"/>
    </xf>
    <xf numFmtId="9" fontId="33" fillId="17" borderId="0" xfId="0" applyNumberFormat="1" applyFont="1" applyFill="1" applyBorder="1" applyAlignment="1">
      <alignment horizontal="center" vertical="center" wrapText="1"/>
    </xf>
    <xf numFmtId="9" fontId="33" fillId="17" borderId="7" xfId="0" applyNumberFormat="1" applyFont="1" applyFill="1" applyBorder="1" applyAlignment="1">
      <alignment horizontal="center" vertical="center" wrapText="1"/>
    </xf>
    <xf numFmtId="0" fontId="4" fillId="0" borderId="45" xfId="0" applyFont="1" applyBorder="1" applyAlignment="1">
      <alignment horizontal="right" vertical="center"/>
    </xf>
    <xf numFmtId="2" fontId="0" fillId="0" borderId="46" xfId="0" applyNumberFormat="1" applyBorder="1" applyAlignment="1">
      <alignment horizontal="center" vertical="center"/>
    </xf>
    <xf numFmtId="2" fontId="0" fillId="0" borderId="47" xfId="0" applyNumberFormat="1" applyBorder="1" applyAlignment="1">
      <alignment horizontal="center" vertical="center"/>
    </xf>
    <xf numFmtId="0" fontId="4" fillId="0" borderId="48" xfId="0" applyFont="1" applyBorder="1" applyAlignment="1">
      <alignment horizontal="right" vertical="center"/>
    </xf>
    <xf numFmtId="2" fontId="0" fillId="0" borderId="49" xfId="0" applyNumberFormat="1" applyBorder="1" applyAlignment="1">
      <alignment horizontal="center" vertical="center"/>
    </xf>
    <xf numFmtId="171" fontId="0" fillId="0" borderId="49" xfId="0" applyNumberFormat="1" applyBorder="1" applyAlignment="1">
      <alignment horizontal="center" vertical="center"/>
    </xf>
    <xf numFmtId="0" fontId="9" fillId="0" borderId="50" xfId="0" applyFont="1" applyBorder="1" applyAlignment="1">
      <alignment horizontal="right" vertical="center"/>
    </xf>
    <xf numFmtId="171" fontId="2" fillId="0" borderId="51" xfId="0" applyNumberFormat="1" applyFont="1" applyBorder="1" applyAlignment="1">
      <alignment horizontal="center" vertical="center"/>
    </xf>
    <xf numFmtId="171" fontId="2" fillId="0" borderId="52" xfId="0" applyNumberFormat="1" applyFont="1" applyBorder="1" applyAlignment="1">
      <alignment horizontal="center" vertical="center"/>
    </xf>
    <xf numFmtId="167" fontId="3" fillId="28" borderId="10" xfId="5" applyNumberFormat="1" applyFill="1" applyBorder="1"/>
    <xf numFmtId="167" fontId="3" fillId="28" borderId="11" xfId="5" applyNumberFormat="1" applyFill="1" applyBorder="1"/>
    <xf numFmtId="0" fontId="2" fillId="25" borderId="0" xfId="4" applyFont="1" applyFill="1" applyBorder="1" applyAlignment="1">
      <alignment horizontal="center" vertical="center"/>
    </xf>
    <xf numFmtId="167" fontId="5" fillId="25" borderId="0" xfId="4" applyNumberFormat="1" applyFont="1" applyFill="1" applyBorder="1" applyAlignment="1">
      <alignment horizontal="center"/>
    </xf>
    <xf numFmtId="167" fontId="5" fillId="25" borderId="5" xfId="4" applyNumberFormat="1" applyFont="1" applyFill="1" applyBorder="1" applyAlignment="1">
      <alignment horizontal="center"/>
    </xf>
    <xf numFmtId="2" fontId="21" fillId="0" borderId="53" xfId="0" applyNumberFormat="1" applyFont="1" applyBorder="1" applyAlignment="1">
      <alignment horizontal="center" vertical="center"/>
    </xf>
    <xf numFmtId="0" fontId="28" fillId="0" borderId="53" xfId="0" applyFont="1" applyBorder="1" applyAlignment="1">
      <alignment horizontal="left" vertical="center"/>
    </xf>
    <xf numFmtId="166" fontId="28" fillId="0" borderId="53" xfId="0" applyNumberFormat="1" applyFont="1" applyBorder="1" applyAlignment="1">
      <alignment horizontal="left" vertical="center"/>
    </xf>
    <xf numFmtId="167" fontId="28" fillId="0" borderId="53" xfId="0" applyNumberFormat="1" applyFont="1" applyBorder="1" applyAlignment="1">
      <alignment horizontal="center" vertical="center"/>
    </xf>
    <xf numFmtId="0" fontId="25" fillId="12" borderId="13" xfId="0" applyFont="1" applyFill="1" applyBorder="1" applyAlignment="1">
      <alignment horizontal="center" vertical="center" wrapText="1"/>
    </xf>
    <xf numFmtId="0" fontId="25" fillId="13" borderId="13" xfId="0" applyFont="1" applyFill="1" applyBorder="1" applyAlignment="1">
      <alignment horizontal="center" vertical="center" wrapText="1"/>
    </xf>
    <xf numFmtId="167" fontId="24" fillId="12" borderId="12" xfId="1" applyNumberFormat="1" applyFont="1" applyFill="1" applyBorder="1" applyAlignment="1">
      <alignment horizontal="right"/>
    </xf>
    <xf numFmtId="167" fontId="24" fillId="13" borderId="12" xfId="1" applyNumberFormat="1" applyFont="1" applyFill="1" applyBorder="1" applyAlignment="1" applyProtection="1">
      <alignment horizontal="right"/>
    </xf>
    <xf numFmtId="0" fontId="25" fillId="34" borderId="18" xfId="0" applyFont="1" applyFill="1" applyBorder="1" applyAlignment="1">
      <alignment horizontal="center" vertical="center" wrapText="1"/>
    </xf>
    <xf numFmtId="164" fontId="24" fillId="34" borderId="19" xfId="2" applyNumberFormat="1" applyFont="1" applyFill="1" applyBorder="1" applyAlignment="1" applyProtection="1">
      <alignment horizontal="center"/>
    </xf>
    <xf numFmtId="166" fontId="24" fillId="34" borderId="19" xfId="2" applyNumberFormat="1" applyFont="1" applyFill="1" applyBorder="1" applyAlignment="1" applyProtection="1">
      <alignment horizontal="center"/>
    </xf>
    <xf numFmtId="0" fontId="0" fillId="0" borderId="0" xfId="0" applyFont="1" applyAlignment="1">
      <alignment horizontal="center" vertical="center"/>
    </xf>
    <xf numFmtId="0" fontId="3" fillId="24" borderId="5" xfId="14" applyNumberFormat="1" applyBorder="1" applyAlignment="1">
      <alignment horizontal="center" vertical="center" wrapText="1"/>
    </xf>
    <xf numFmtId="0" fontId="0" fillId="0" borderId="0" xfId="0" applyBorder="1" applyAlignment="1">
      <alignment vertical="center"/>
    </xf>
    <xf numFmtId="167" fontId="0" fillId="0" borderId="3" xfId="0" applyNumberFormat="1" applyBorder="1" applyAlignment="1">
      <alignment horizontal="center" vertical="center"/>
    </xf>
    <xf numFmtId="167" fontId="0" fillId="0" borderId="56" xfId="0" applyNumberFormat="1" applyBorder="1" applyAlignment="1">
      <alignment horizontal="center" vertical="center"/>
    </xf>
    <xf numFmtId="0" fontId="26" fillId="0" borderId="0" xfId="0" applyFont="1" applyBorder="1" applyAlignment="1">
      <alignment horizontal="left" vertical="center" wrapText="1"/>
    </xf>
    <xf numFmtId="0" fontId="27" fillId="0" borderId="0" xfId="0" applyFont="1" applyBorder="1" applyAlignment="1">
      <alignment horizontal="center" vertical="center" wrapText="1"/>
    </xf>
    <xf numFmtId="172" fontId="27" fillId="0" borderId="0" xfId="0" applyNumberFormat="1" applyFont="1" applyBorder="1" applyAlignment="1">
      <alignment horizontal="center" vertical="center" wrapText="1"/>
    </xf>
    <xf numFmtId="0" fontId="24" fillId="0" borderId="0" xfId="0" applyFont="1" applyAlignment="1">
      <alignment vertical="center" wrapText="1"/>
    </xf>
    <xf numFmtId="0" fontId="27" fillId="33" borderId="0" xfId="0" applyFont="1" applyFill="1" applyBorder="1" applyAlignment="1">
      <alignment horizontal="left" vertical="center" wrapText="1"/>
    </xf>
    <xf numFmtId="0" fontId="27" fillId="33" borderId="0" xfId="0" applyFont="1" applyFill="1" applyBorder="1" applyAlignment="1">
      <alignment horizontal="center" vertical="center" wrapText="1"/>
    </xf>
    <xf numFmtId="172" fontId="27" fillId="33" borderId="0" xfId="0" applyNumberFormat="1" applyFont="1" applyFill="1" applyBorder="1" applyAlignment="1">
      <alignment horizontal="center" vertical="center" wrapText="1"/>
    </xf>
    <xf numFmtId="167" fontId="24" fillId="0" borderId="0" xfId="1" applyNumberFormat="1" applyFont="1" applyAlignment="1">
      <alignment vertical="center" wrapText="1"/>
    </xf>
    <xf numFmtId="0" fontId="6" fillId="36" borderId="9" xfId="14" applyNumberFormat="1" applyFont="1" applyFill="1" applyBorder="1" applyAlignment="1">
      <alignment horizontal="center" vertical="center" wrapText="1"/>
    </xf>
    <xf numFmtId="0" fontId="6" fillId="36" borderId="10" xfId="14" applyNumberFormat="1" applyFont="1" applyFill="1" applyBorder="1" applyAlignment="1">
      <alignment horizontal="center" vertical="center" wrapText="1"/>
    </xf>
    <xf numFmtId="0" fontId="6" fillId="32" borderId="10" xfId="14" applyNumberFormat="1" applyFont="1" applyFill="1" applyBorder="1" applyAlignment="1">
      <alignment horizontal="center" vertical="center" wrapText="1"/>
    </xf>
    <xf numFmtId="167" fontId="0" fillId="13" borderId="4" xfId="0" applyNumberFormat="1" applyFill="1" applyBorder="1" applyAlignment="1">
      <alignment horizontal="center" vertical="center"/>
    </xf>
    <xf numFmtId="167" fontId="0" fillId="13" borderId="5" xfId="0" applyNumberFormat="1" applyFill="1" applyBorder="1" applyAlignment="1">
      <alignment horizontal="center" vertical="center"/>
    </xf>
    <xf numFmtId="167" fontId="0" fillId="15" borderId="5" xfId="0" applyNumberFormat="1" applyFill="1" applyBorder="1" applyAlignment="1">
      <alignment horizontal="center" vertical="center"/>
    </xf>
    <xf numFmtId="167" fontId="2" fillId="34" borderId="0" xfId="0" applyNumberFormat="1" applyFont="1" applyFill="1" applyAlignment="1">
      <alignment vertical="center"/>
    </xf>
    <xf numFmtId="0" fontId="3" fillId="2" borderId="0" xfId="3" applyBorder="1"/>
    <xf numFmtId="0" fontId="38" fillId="0" borderId="0" xfId="0" applyFont="1" applyAlignment="1">
      <alignment vertical="center"/>
    </xf>
    <xf numFmtId="0" fontId="39" fillId="0" borderId="0" xfId="0" applyFont="1" applyAlignment="1">
      <alignment vertical="center"/>
    </xf>
    <xf numFmtId="0" fontId="38" fillId="0" borderId="3" xfId="0" applyFont="1" applyBorder="1"/>
    <xf numFmtId="0" fontId="39" fillId="0" borderId="0" xfId="0" applyFont="1" applyBorder="1"/>
    <xf numFmtId="0" fontId="38" fillId="0" borderId="0" xfId="0" applyFont="1" applyBorder="1"/>
    <xf numFmtId="0" fontId="38" fillId="0" borderId="7" xfId="0" applyFont="1" applyBorder="1"/>
    <xf numFmtId="0" fontId="38" fillId="0" borderId="0" xfId="0" applyFont="1"/>
    <xf numFmtId="0" fontId="39" fillId="0" borderId="0" xfId="0" applyFont="1"/>
    <xf numFmtId="0" fontId="6" fillId="2" borderId="4" xfId="3" applyFont="1" applyBorder="1" applyAlignment="1">
      <alignment horizontal="center" vertical="center" wrapText="1"/>
    </xf>
    <xf numFmtId="10" fontId="6" fillId="2" borderId="5" xfId="3" applyNumberFormat="1" applyFont="1" applyBorder="1" applyAlignment="1">
      <alignment horizontal="center" vertical="center" wrapText="1"/>
    </xf>
    <xf numFmtId="9" fontId="6" fillId="2" borderId="5" xfId="3" applyNumberFormat="1" applyFont="1" applyBorder="1" applyAlignment="1">
      <alignment horizontal="center" vertical="center" wrapText="1"/>
    </xf>
    <xf numFmtId="9" fontId="6" fillId="2" borderId="8" xfId="3" applyNumberFormat="1" applyFont="1" applyBorder="1" applyAlignment="1">
      <alignment horizontal="center" vertical="center" wrapText="1"/>
    </xf>
    <xf numFmtId="0" fontId="6" fillId="4" borderId="4" xfId="5" applyFont="1" applyBorder="1" applyAlignment="1">
      <alignment horizontal="center" vertical="center" wrapText="1"/>
    </xf>
    <xf numFmtId="10" fontId="6" fillId="4" borderId="5" xfId="5" applyNumberFormat="1" applyFont="1" applyBorder="1" applyAlignment="1">
      <alignment horizontal="center" vertical="center" wrapText="1"/>
    </xf>
    <xf numFmtId="9" fontId="6" fillId="4" borderId="5" xfId="5" applyNumberFormat="1" applyFont="1" applyBorder="1" applyAlignment="1">
      <alignment horizontal="center" vertical="center" wrapText="1"/>
    </xf>
    <xf numFmtId="9" fontId="6" fillId="4" borderId="8" xfId="5" applyNumberFormat="1" applyFont="1" applyBorder="1" applyAlignment="1">
      <alignment horizontal="center" vertical="center" wrapText="1"/>
    </xf>
    <xf numFmtId="0" fontId="6" fillId="30" borderId="4" xfId="17" applyFont="1" applyBorder="1" applyAlignment="1">
      <alignment horizontal="center" vertical="center" wrapText="1"/>
    </xf>
    <xf numFmtId="10" fontId="6" fillId="30" borderId="5" xfId="17" applyNumberFormat="1" applyFont="1" applyBorder="1" applyAlignment="1">
      <alignment horizontal="center" vertical="center" wrapText="1"/>
    </xf>
    <xf numFmtId="9" fontId="6" fillId="30" borderId="5" xfId="17" applyNumberFormat="1" applyFont="1" applyBorder="1" applyAlignment="1">
      <alignment horizontal="center" vertical="center" wrapText="1"/>
    </xf>
    <xf numFmtId="9" fontId="6" fillId="30" borderId="8" xfId="17" applyNumberFormat="1" applyFont="1" applyBorder="1" applyAlignment="1">
      <alignment horizontal="center" vertical="center" wrapText="1"/>
    </xf>
    <xf numFmtId="0" fontId="4" fillId="0" borderId="0" xfId="0" applyFont="1" applyAlignment="1">
      <alignment horizontal="left" vertical="center"/>
    </xf>
    <xf numFmtId="0" fontId="0" fillId="0" borderId="0" xfId="0" applyAlignment="1">
      <alignment horizontal="left" vertical="center"/>
    </xf>
    <xf numFmtId="171" fontId="0" fillId="0" borderId="0" xfId="0" applyNumberFormat="1"/>
    <xf numFmtId="167" fontId="0" fillId="0" borderId="0" xfId="0" applyNumberFormat="1"/>
    <xf numFmtId="0" fontId="3" fillId="2" borderId="1" xfId="3" applyBorder="1"/>
    <xf numFmtId="0" fontId="1" fillId="26" borderId="5" xfId="15" applyBorder="1"/>
    <xf numFmtId="0" fontId="1" fillId="26" borderId="8" xfId="15" applyBorder="1"/>
    <xf numFmtId="0" fontId="17" fillId="0" borderId="0" xfId="13" applyAlignment="1">
      <alignment horizontal="center"/>
    </xf>
    <xf numFmtId="0" fontId="17" fillId="0" borderId="0" xfId="13" applyAlignment="1">
      <alignment horizontal="left" vertical="top"/>
    </xf>
    <xf numFmtId="0" fontId="17" fillId="0" borderId="2" xfId="13" applyBorder="1"/>
    <xf numFmtId="0" fontId="0" fillId="27" borderId="4" xfId="16" applyFont="1" applyBorder="1"/>
    <xf numFmtId="0" fontId="17" fillId="0" borderId="1" xfId="13" applyBorder="1" applyAlignment="1">
      <alignment horizontal="center"/>
    </xf>
    <xf numFmtId="0" fontId="17" fillId="0" borderId="2" xfId="13" applyBorder="1" applyAlignment="1">
      <alignment horizontal="center"/>
    </xf>
    <xf numFmtId="0" fontId="17" fillId="0" borderId="6" xfId="13" applyBorder="1" applyAlignment="1">
      <alignment horizontal="center"/>
    </xf>
    <xf numFmtId="43" fontId="0" fillId="25" borderId="0" xfId="18" applyFont="1" applyFill="1" applyAlignment="1">
      <alignment vertical="center"/>
    </xf>
    <xf numFmtId="43" fontId="0" fillId="31" borderId="0" xfId="18" applyFont="1" applyFill="1" applyAlignment="1">
      <alignment vertical="center"/>
    </xf>
    <xf numFmtId="9" fontId="1" fillId="38" borderId="9" xfId="19" applyNumberFormat="1" applyBorder="1" applyAlignment="1">
      <alignment horizontal="center" vertical="center"/>
    </xf>
    <xf numFmtId="9" fontId="1" fillId="38" borderId="10" xfId="19" applyNumberFormat="1" applyBorder="1" applyAlignment="1">
      <alignment horizontal="center" vertical="center"/>
    </xf>
    <xf numFmtId="9" fontId="1" fillId="38" borderId="11" xfId="19" applyNumberFormat="1" applyBorder="1" applyAlignment="1">
      <alignment horizontal="center" vertical="center"/>
    </xf>
    <xf numFmtId="2" fontId="21" fillId="0" borderId="66" xfId="0" applyNumberFormat="1" applyFont="1" applyBorder="1" applyAlignment="1">
      <alignment vertical="center"/>
    </xf>
    <xf numFmtId="0" fontId="3" fillId="24" borderId="64" xfId="14" applyBorder="1" applyAlignment="1">
      <alignment horizontal="center" vertical="center" wrapText="1"/>
    </xf>
    <xf numFmtId="167" fontId="21" fillId="0" borderId="67" xfId="0" applyNumberFormat="1" applyFont="1" applyBorder="1" applyAlignment="1">
      <alignment vertical="center"/>
    </xf>
    <xf numFmtId="167" fontId="21" fillId="17" borderId="67" xfId="0" applyNumberFormat="1" applyFont="1" applyFill="1" applyBorder="1" applyAlignment="1">
      <alignment vertical="center"/>
    </xf>
    <xf numFmtId="0" fontId="3" fillId="24" borderId="10" xfId="14" applyBorder="1" applyAlignment="1">
      <alignment horizontal="center" vertical="center" wrapText="1"/>
    </xf>
    <xf numFmtId="0" fontId="3" fillId="24" borderId="69" xfId="14" applyNumberFormat="1" applyBorder="1" applyAlignment="1">
      <alignment horizontal="center" vertical="center" wrapText="1"/>
    </xf>
    <xf numFmtId="172" fontId="0" fillId="17" borderId="29" xfId="1" applyNumberFormat="1" applyFont="1" applyFill="1" applyBorder="1" applyAlignment="1">
      <alignment vertical="center"/>
    </xf>
    <xf numFmtId="0" fontId="0" fillId="17" borderId="0" xfId="0" applyFill="1" applyBorder="1" applyAlignment="1">
      <alignment vertical="center"/>
    </xf>
    <xf numFmtId="172" fontId="0" fillId="17" borderId="0" xfId="1" applyNumberFormat="1" applyFont="1" applyFill="1" applyBorder="1" applyAlignment="1">
      <alignment vertical="center"/>
    </xf>
    <xf numFmtId="0" fontId="3" fillId="24" borderId="72" xfId="14" applyNumberFormat="1" applyBorder="1" applyAlignment="1">
      <alignment horizontal="center" vertical="center" wrapText="1"/>
    </xf>
    <xf numFmtId="0" fontId="0" fillId="17" borderId="71" xfId="0" applyFill="1" applyBorder="1" applyAlignment="1">
      <alignment vertical="center"/>
    </xf>
    <xf numFmtId="0" fontId="42" fillId="0" borderId="0" xfId="0" applyFont="1" applyAlignment="1">
      <alignment horizontal="center" vertical="center"/>
    </xf>
    <xf numFmtId="0" fontId="0" fillId="0" borderId="0" xfId="0" applyFont="1" applyAlignment="1">
      <alignment horizontal="center" vertical="center"/>
    </xf>
    <xf numFmtId="0" fontId="6" fillId="19" borderId="10" xfId="14" applyNumberFormat="1" applyFont="1" applyFill="1" applyBorder="1" applyAlignment="1">
      <alignment horizontal="center" vertical="center" wrapText="1"/>
    </xf>
    <xf numFmtId="0" fontId="6" fillId="10" borderId="4" xfId="11" applyFont="1" applyBorder="1" applyAlignment="1">
      <alignment horizontal="center" vertical="center" wrapText="1"/>
    </xf>
    <xf numFmtId="0" fontId="6" fillId="10" borderId="8" xfId="11" applyFont="1" applyBorder="1" applyAlignment="1">
      <alignment horizontal="center" vertical="center" wrapText="1"/>
    </xf>
    <xf numFmtId="0" fontId="6" fillId="10" borderId="5" xfId="11" applyFont="1" applyBorder="1" applyAlignment="1">
      <alignment horizontal="center" vertical="center" wrapText="1"/>
    </xf>
    <xf numFmtId="0" fontId="40" fillId="0" borderId="0" xfId="0" applyFont="1" applyAlignment="1">
      <alignment vertical="center"/>
    </xf>
    <xf numFmtId="9" fontId="0" fillId="0" borderId="0" xfId="0" applyNumberFormat="1" applyBorder="1" applyAlignment="1">
      <alignment horizontal="center" vertical="center"/>
    </xf>
    <xf numFmtId="0" fontId="41" fillId="0" borderId="0" xfId="0" applyFont="1" applyFill="1" applyAlignment="1">
      <alignment horizontal="center" vertical="center" wrapText="1"/>
    </xf>
    <xf numFmtId="0" fontId="41" fillId="0" borderId="0" xfId="0" applyFont="1" applyAlignment="1">
      <alignment horizontal="center" vertical="center" wrapText="1"/>
    </xf>
    <xf numFmtId="0" fontId="4" fillId="0" borderId="0" xfId="0" applyFont="1" applyAlignment="1">
      <alignment horizontal="right"/>
    </xf>
    <xf numFmtId="0" fontId="44" fillId="0" borderId="0" xfId="13" applyFont="1" applyAlignment="1">
      <alignment vertical="center"/>
    </xf>
    <xf numFmtId="0" fontId="44" fillId="0" borderId="0" xfId="13" applyFont="1" applyAlignment="1">
      <alignment horizontal="left"/>
    </xf>
    <xf numFmtId="0" fontId="0" fillId="0" borderId="0" xfId="0" applyAlignment="1"/>
    <xf numFmtId="175" fontId="5" fillId="0" borderId="12" xfId="0" applyNumberFormat="1" applyFont="1" applyBorder="1" applyAlignment="1">
      <alignment vertical="center"/>
    </xf>
    <xf numFmtId="0" fontId="25" fillId="14" borderId="13" xfId="0" applyFont="1" applyFill="1" applyBorder="1" applyAlignment="1">
      <alignment horizontal="center" vertical="center" wrapText="1"/>
    </xf>
    <xf numFmtId="9" fontId="14" fillId="40" borderId="12" xfId="2" applyFont="1" applyFill="1" applyBorder="1" applyAlignment="1" applyProtection="1">
      <alignment horizontal="center" vertical="center"/>
      <protection locked="0"/>
    </xf>
    <xf numFmtId="9" fontId="15" fillId="40" borderId="12" xfId="12" applyNumberFormat="1" applyFont="1" applyFill="1" applyBorder="1" applyAlignment="1" applyProtection="1">
      <alignment horizontal="center" vertical="center"/>
      <protection locked="0"/>
    </xf>
    <xf numFmtId="9" fontId="14" fillId="40" borderId="15" xfId="2" applyFont="1" applyFill="1" applyBorder="1" applyAlignment="1" applyProtection="1">
      <alignment horizontal="center" vertical="center"/>
      <protection locked="0"/>
    </xf>
    <xf numFmtId="9" fontId="14" fillId="40" borderId="12" xfId="2" applyFont="1" applyFill="1" applyBorder="1" applyAlignment="1" applyProtection="1">
      <alignment horizontal="center" vertical="center"/>
    </xf>
    <xf numFmtId="9" fontId="15" fillId="40" borderId="12" xfId="12" applyNumberFormat="1" applyFont="1" applyFill="1" applyBorder="1" applyAlignment="1" applyProtection="1">
      <alignment horizontal="center" vertical="center"/>
    </xf>
    <xf numFmtId="9" fontId="14" fillId="40" borderId="15" xfId="2" applyFont="1" applyFill="1" applyBorder="1" applyAlignment="1" applyProtection="1">
      <alignment horizontal="center" vertical="center"/>
    </xf>
    <xf numFmtId="0" fontId="1" fillId="29" borderId="1" xfId="6" applyFill="1" applyBorder="1"/>
    <xf numFmtId="0" fontId="1" fillId="29" borderId="2" xfId="6" applyFill="1" applyBorder="1"/>
    <xf numFmtId="0" fontId="2" fillId="29" borderId="1" xfId="6" applyFont="1" applyFill="1" applyBorder="1"/>
    <xf numFmtId="0" fontId="2" fillId="29" borderId="2" xfId="6" applyFont="1" applyFill="1" applyBorder="1"/>
    <xf numFmtId="0" fontId="10" fillId="41" borderId="0" xfId="11" applyFont="1" applyFill="1" applyBorder="1" applyAlignment="1">
      <alignment vertical="center"/>
    </xf>
    <xf numFmtId="0" fontId="16" fillId="41" borderId="0" xfId="11" applyFont="1" applyFill="1" applyBorder="1" applyAlignment="1">
      <alignment vertical="center"/>
    </xf>
    <xf numFmtId="0" fontId="10" fillId="41" borderId="0" xfId="11" applyFont="1" applyFill="1" applyBorder="1"/>
    <xf numFmtId="0" fontId="4" fillId="0" borderId="12" xfId="0" applyFont="1" applyFill="1" applyBorder="1" applyAlignment="1">
      <alignment horizontal="right"/>
    </xf>
    <xf numFmtId="167" fontId="4" fillId="0" borderId="12" xfId="0" applyNumberFormat="1" applyFont="1" applyFill="1" applyBorder="1"/>
    <xf numFmtId="167" fontId="2" fillId="0" borderId="12" xfId="0" applyNumberFormat="1" applyFont="1" applyFill="1" applyBorder="1"/>
    <xf numFmtId="0" fontId="29" fillId="0" borderId="5" xfId="7" applyFont="1" applyFill="1" applyBorder="1" applyAlignment="1">
      <alignment horizontal="right" vertical="center"/>
    </xf>
    <xf numFmtId="0" fontId="30" fillId="0" borderId="5" xfId="7" applyFont="1" applyFill="1" applyBorder="1" applyAlignment="1">
      <alignment horizontal="left" vertical="center" wrapText="1"/>
    </xf>
    <xf numFmtId="0" fontId="43" fillId="19" borderId="1" xfId="0" applyFont="1" applyFill="1" applyBorder="1" applyAlignment="1">
      <alignment horizontal="right" vertical="center" wrapText="1"/>
    </xf>
    <xf numFmtId="0" fontId="43" fillId="19" borderId="4" xfId="0" applyFont="1" applyFill="1" applyBorder="1" applyAlignment="1">
      <alignment horizontal="right" vertical="center" wrapText="1"/>
    </xf>
    <xf numFmtId="0" fontId="4" fillId="6" borderId="0" xfId="7" applyFont="1" applyBorder="1" applyAlignment="1">
      <alignment vertical="center"/>
    </xf>
    <xf numFmtId="0" fontId="0" fillId="0" borderId="0" xfId="0" quotePrefix="1" applyAlignment="1">
      <alignment horizontal="center" vertical="center" wrapText="1"/>
    </xf>
    <xf numFmtId="0" fontId="11" fillId="0" borderId="82" xfId="0" applyFont="1" applyBorder="1" applyAlignment="1">
      <alignment horizontal="center" vertical="center" wrapText="1"/>
    </xf>
    <xf numFmtId="0" fontId="43" fillId="36" borderId="1" xfId="0" applyFont="1" applyFill="1" applyBorder="1" applyAlignment="1">
      <alignment horizontal="center" vertical="center" wrapText="1"/>
    </xf>
    <xf numFmtId="0" fontId="43" fillId="36" borderId="2" xfId="0" applyFont="1" applyFill="1" applyBorder="1" applyAlignment="1">
      <alignment horizontal="center" vertical="center" wrapText="1"/>
    </xf>
    <xf numFmtId="0" fontId="43" fillId="36" borderId="6" xfId="0" applyFont="1" applyFill="1" applyBorder="1" applyAlignment="1">
      <alignment horizontal="center" vertical="center" wrapText="1"/>
    </xf>
    <xf numFmtId="0" fontId="11" fillId="0" borderId="0" xfId="0" applyFont="1" applyBorder="1" applyAlignment="1">
      <alignment horizontal="center" vertical="center" wrapText="1"/>
    </xf>
    <xf numFmtId="1" fontId="5" fillId="0" borderId="0" xfId="0" applyNumberFormat="1" applyFont="1" applyBorder="1" applyAlignment="1">
      <alignment horizontal="center" vertical="center" wrapText="1"/>
    </xf>
    <xf numFmtId="173" fontId="5" fillId="0" borderId="0" xfId="0" applyNumberFormat="1" applyFont="1" applyBorder="1" applyAlignment="1">
      <alignment horizontal="center" vertical="center" wrapText="1"/>
    </xf>
    <xf numFmtId="0" fontId="43" fillId="42" borderId="75" xfId="0" applyFont="1" applyFill="1" applyBorder="1" applyAlignment="1">
      <alignment horizontal="center" vertical="center" wrapText="1"/>
    </xf>
    <xf numFmtId="0" fontId="43" fillId="42" borderId="76" xfId="0" applyFont="1" applyFill="1" applyBorder="1" applyAlignment="1">
      <alignment horizontal="center" vertical="center" wrapText="1"/>
    </xf>
    <xf numFmtId="0" fontId="43" fillId="42" borderId="77" xfId="0" applyFont="1" applyFill="1" applyBorder="1" applyAlignment="1">
      <alignment horizontal="center" vertical="center" wrapText="1"/>
    </xf>
    <xf numFmtId="0" fontId="52" fillId="43" borderId="78" xfId="0" applyFont="1" applyFill="1" applyBorder="1" applyAlignment="1">
      <alignment horizontal="center" vertical="center" wrapText="1"/>
    </xf>
    <xf numFmtId="0" fontId="53" fillId="0" borderId="79" xfId="0" applyFont="1" applyBorder="1" applyAlignment="1">
      <alignment horizontal="center" vertical="center" wrapText="1"/>
    </xf>
    <xf numFmtId="0" fontId="53" fillId="0" borderId="80" xfId="0" applyFont="1" applyBorder="1" applyAlignment="1">
      <alignment horizontal="center" vertical="center" wrapText="1"/>
    </xf>
    <xf numFmtId="0" fontId="52" fillId="43" borderId="85" xfId="0" applyFont="1" applyFill="1" applyBorder="1" applyAlignment="1">
      <alignment horizontal="center" vertical="center" wrapText="1"/>
    </xf>
    <xf numFmtId="0" fontId="53" fillId="0" borderId="86" xfId="0" applyFont="1" applyBorder="1" applyAlignment="1">
      <alignment horizontal="center" vertical="center" wrapText="1"/>
    </xf>
    <xf numFmtId="0" fontId="53" fillId="0" borderId="87" xfId="0" applyFont="1" applyBorder="1" applyAlignment="1">
      <alignment horizontal="center" vertical="center" wrapText="1"/>
    </xf>
    <xf numFmtId="0" fontId="52" fillId="43" borderId="88" xfId="0" applyFont="1" applyFill="1" applyBorder="1" applyAlignment="1">
      <alignment horizontal="center" vertical="center" wrapText="1"/>
    </xf>
    <xf numFmtId="0" fontId="53" fillId="0" borderId="0" xfId="0" applyFont="1" applyAlignment="1">
      <alignment horizontal="center" vertical="center" wrapText="1"/>
    </xf>
    <xf numFmtId="0" fontId="53" fillId="0" borderId="89" xfId="0" applyFont="1" applyBorder="1" applyAlignment="1">
      <alignment horizontal="center" vertical="center" wrapText="1"/>
    </xf>
    <xf numFmtId="0" fontId="53" fillId="0" borderId="78" xfId="0" applyFont="1" applyBorder="1" applyAlignment="1">
      <alignment horizontal="center" vertical="center" wrapText="1"/>
    </xf>
    <xf numFmtId="0" fontId="43" fillId="19" borderId="9" xfId="0" applyFont="1" applyFill="1" applyBorder="1" applyAlignment="1">
      <alignment horizontal="right" vertical="center"/>
    </xf>
    <xf numFmtId="0" fontId="2" fillId="0" borderId="4" xfId="0" applyFont="1" applyBorder="1" applyAlignment="1">
      <alignment horizontal="center" vertical="center" wrapText="1"/>
    </xf>
    <xf numFmtId="0" fontId="2" fillId="0" borderId="8" xfId="0" applyFont="1" applyBorder="1" applyAlignment="1">
      <alignment horizontal="center" vertical="center" wrapText="1"/>
    </xf>
    <xf numFmtId="0" fontId="9" fillId="0" borderId="0" xfId="0" applyFont="1" applyAlignment="1">
      <alignment horizontal="center" vertical="center" wrapText="1"/>
    </xf>
    <xf numFmtId="0" fontId="56" fillId="0" borderId="1" xfId="0" applyFont="1" applyFill="1" applyBorder="1" applyAlignment="1">
      <alignment horizontal="right" vertical="center"/>
    </xf>
    <xf numFmtId="0" fontId="56" fillId="0" borderId="4" xfId="0" applyFont="1" applyFill="1" applyBorder="1" applyAlignment="1">
      <alignment horizontal="right" vertical="center"/>
    </xf>
    <xf numFmtId="0" fontId="56" fillId="0" borderId="3" xfId="0" applyFont="1" applyFill="1" applyBorder="1" applyAlignment="1">
      <alignment horizontal="right" vertical="center"/>
    </xf>
    <xf numFmtId="0" fontId="4" fillId="0" borderId="2" xfId="0" applyFont="1" applyBorder="1"/>
    <xf numFmtId="0" fontId="0" fillId="8" borderId="0" xfId="9" applyFont="1" applyBorder="1" applyAlignment="1">
      <alignment horizontal="center"/>
    </xf>
    <xf numFmtId="0" fontId="50" fillId="0" borderId="81" xfId="20" applyBorder="1" applyAlignment="1">
      <alignment horizontal="left" vertical="center" wrapText="1"/>
    </xf>
    <xf numFmtId="1" fontId="21" fillId="0" borderId="67" xfId="0" applyNumberFormat="1" applyFont="1" applyBorder="1" applyAlignment="1">
      <alignment vertical="center"/>
    </xf>
    <xf numFmtId="1" fontId="21" fillId="0" borderId="12" xfId="0" applyNumberFormat="1" applyFont="1" applyBorder="1" applyAlignment="1">
      <alignment vertical="center"/>
    </xf>
    <xf numFmtId="1" fontId="21" fillId="0" borderId="31" xfId="0" applyNumberFormat="1" applyFont="1" applyBorder="1" applyAlignment="1">
      <alignment vertical="center"/>
    </xf>
    <xf numFmtId="0" fontId="58" fillId="0" borderId="0" xfId="0" applyFont="1" applyAlignment="1">
      <alignment vertical="center"/>
    </xf>
    <xf numFmtId="0" fontId="0" fillId="20" borderId="1" xfId="0" applyNumberFormat="1" applyFill="1" applyBorder="1" applyAlignment="1">
      <alignment horizontal="center" vertical="center"/>
    </xf>
    <xf numFmtId="0" fontId="0" fillId="20" borderId="4" xfId="0" applyNumberFormat="1" applyFill="1" applyBorder="1" applyAlignment="1">
      <alignment horizontal="center" vertical="center"/>
    </xf>
    <xf numFmtId="173" fontId="0" fillId="14" borderId="6" xfId="0" applyNumberFormat="1" applyFill="1" applyBorder="1" applyAlignment="1">
      <alignment horizontal="center"/>
    </xf>
    <xf numFmtId="173" fontId="0" fillId="14" borderId="8" xfId="0" applyNumberFormat="1" applyFill="1" applyBorder="1" applyAlignment="1">
      <alignment horizontal="center"/>
    </xf>
    <xf numFmtId="0" fontId="17" fillId="0" borderId="1" xfId="13" applyBorder="1" applyAlignment="1">
      <alignment horizontal="right"/>
    </xf>
    <xf numFmtId="0" fontId="9" fillId="0" borderId="3" xfId="0" applyFont="1" applyBorder="1" applyAlignment="1">
      <alignment horizontal="right" vertical="center"/>
    </xf>
    <xf numFmtId="0" fontId="2" fillId="0" borderId="3" xfId="0" applyFont="1" applyBorder="1" applyAlignment="1">
      <alignment horizontal="center" vertical="center"/>
    </xf>
    <xf numFmtId="0" fontId="2" fillId="0" borderId="7" xfId="0" applyFont="1" applyBorder="1" applyAlignment="1">
      <alignment horizontal="center" vertical="center"/>
    </xf>
    <xf numFmtId="1" fontId="2" fillId="0" borderId="4" xfId="0" applyNumberFormat="1" applyFont="1" applyBorder="1" applyAlignment="1">
      <alignment horizontal="right" vertical="center"/>
    </xf>
    <xf numFmtId="0" fontId="6" fillId="10" borderId="0" xfId="11" applyFont="1" applyAlignment="1">
      <alignment horizontal="right"/>
    </xf>
    <xf numFmtId="0" fontId="49" fillId="0" borderId="0" xfId="0" applyFont="1" applyAlignment="1">
      <alignment vertical="center" wrapText="1"/>
    </xf>
    <xf numFmtId="0" fontId="0" fillId="45" borderId="33" xfId="0" applyFill="1" applyBorder="1" applyAlignment="1">
      <alignment vertical="center"/>
    </xf>
    <xf numFmtId="0" fontId="0" fillId="45" borderId="33" xfId="0" applyFill="1" applyBorder="1" applyAlignment="1">
      <alignment horizontal="center" vertical="center"/>
    </xf>
    <xf numFmtId="0" fontId="36" fillId="24" borderId="64" xfId="14" applyFont="1" applyFill="1" applyBorder="1" applyAlignment="1">
      <alignment horizontal="center" vertical="center" wrapText="1"/>
    </xf>
    <xf numFmtId="167" fontId="62" fillId="17" borderId="93" xfId="0" applyNumberFormat="1" applyFont="1" applyFill="1" applyBorder="1" applyAlignment="1">
      <alignment vertical="center"/>
    </xf>
    <xf numFmtId="167" fontId="62" fillId="17" borderId="94" xfId="0" applyNumberFormat="1" applyFont="1" applyFill="1" applyBorder="1" applyAlignment="1">
      <alignment vertical="center"/>
    </xf>
    <xf numFmtId="167" fontId="62" fillId="17" borderId="95" xfId="0" applyNumberFormat="1" applyFont="1" applyFill="1" applyBorder="1" applyAlignment="1">
      <alignment vertical="center"/>
    </xf>
    <xf numFmtId="167" fontId="62" fillId="17" borderId="96" xfId="0" applyNumberFormat="1" applyFont="1" applyFill="1" applyBorder="1" applyAlignment="1">
      <alignment vertical="center"/>
    </xf>
    <xf numFmtId="3" fontId="2" fillId="0" borderId="4" xfId="0" applyNumberFormat="1" applyFont="1" applyBorder="1" applyAlignment="1">
      <alignment horizontal="center" vertical="center"/>
    </xf>
    <xf numFmtId="3" fontId="2" fillId="0" borderId="5" xfId="0" applyNumberFormat="1" applyFont="1" applyBorder="1" applyAlignment="1">
      <alignment horizontal="center" vertical="center"/>
    </xf>
    <xf numFmtId="3" fontId="2" fillId="0" borderId="8" xfId="0" applyNumberFormat="1" applyFont="1" applyBorder="1" applyAlignment="1">
      <alignment horizontal="center" vertical="center"/>
    </xf>
    <xf numFmtId="176" fontId="2" fillId="0" borderId="5" xfId="0" applyNumberFormat="1" applyFont="1" applyBorder="1" applyAlignment="1">
      <alignment horizontal="center" vertical="center"/>
    </xf>
    <xf numFmtId="0" fontId="10" fillId="0" borderId="0" xfId="13" applyFont="1" applyAlignment="1">
      <alignment horizontal="center" vertical="center"/>
    </xf>
    <xf numFmtId="167" fontId="2" fillId="46" borderId="4" xfId="22" applyNumberFormat="1" applyFont="1" applyBorder="1" applyAlignment="1">
      <alignment horizontal="center" vertical="center"/>
    </xf>
    <xf numFmtId="167" fontId="2" fillId="46" borderId="63" xfId="22" applyNumberFormat="1" applyFont="1" applyBorder="1" applyAlignment="1">
      <alignment horizontal="center" vertical="center"/>
    </xf>
    <xf numFmtId="0" fontId="4" fillId="0" borderId="0" xfId="0" applyFont="1" applyBorder="1" applyAlignment="1">
      <alignment vertical="center"/>
    </xf>
    <xf numFmtId="0" fontId="63" fillId="43" borderId="78" xfId="0" applyFont="1" applyFill="1" applyBorder="1" applyAlignment="1">
      <alignment horizontal="center" vertical="center" wrapText="1"/>
    </xf>
    <xf numFmtId="0" fontId="63" fillId="43" borderId="88" xfId="0" applyFont="1" applyFill="1" applyBorder="1" applyAlignment="1">
      <alignment horizontal="center" vertical="center" wrapText="1"/>
    </xf>
    <xf numFmtId="9" fontId="64" fillId="0" borderId="79" xfId="0" applyNumberFormat="1" applyFont="1" applyBorder="1" applyAlignment="1">
      <alignment horizontal="center" vertical="center" wrapText="1"/>
    </xf>
    <xf numFmtId="9" fontId="64" fillId="0" borderId="0" xfId="0" applyNumberFormat="1" applyFont="1" applyAlignment="1">
      <alignment horizontal="center" vertical="center" wrapText="1"/>
    </xf>
    <xf numFmtId="9" fontId="5" fillId="0" borderId="79" xfId="0" applyNumberFormat="1" applyFont="1" applyBorder="1" applyAlignment="1">
      <alignment horizontal="center" vertical="center" wrapText="1"/>
    </xf>
    <xf numFmtId="164" fontId="64" fillId="0" borderId="79" xfId="0" applyNumberFormat="1" applyFont="1" applyBorder="1" applyAlignment="1">
      <alignment horizontal="center" vertical="center" wrapText="1"/>
    </xf>
    <xf numFmtId="166" fontId="64" fillId="0" borderId="0" xfId="0" applyNumberFormat="1" applyFont="1" applyAlignment="1">
      <alignment horizontal="center" vertical="center" wrapText="1"/>
    </xf>
    <xf numFmtId="166" fontId="64" fillId="0" borderId="79" xfId="0" applyNumberFormat="1" applyFont="1" applyBorder="1" applyAlignment="1">
      <alignment horizontal="center" vertical="center" wrapText="1"/>
    </xf>
    <xf numFmtId="0" fontId="3" fillId="0" borderId="6" xfId="0" applyFont="1" applyBorder="1" applyAlignment="1">
      <alignment horizontal="right"/>
    </xf>
    <xf numFmtId="167" fontId="2" fillId="14" borderId="0" xfId="0" applyNumberFormat="1" applyFont="1" applyFill="1" applyBorder="1" applyAlignment="1">
      <alignment horizontal="center" vertical="center"/>
    </xf>
    <xf numFmtId="167" fontId="0" fillId="14" borderId="5" xfId="0" applyNumberFormat="1" applyFill="1" applyBorder="1" applyAlignment="1">
      <alignment horizontal="center" vertical="center"/>
    </xf>
    <xf numFmtId="0" fontId="6" fillId="37" borderId="64" xfId="14" applyNumberFormat="1" applyFont="1" applyFill="1" applyBorder="1" applyAlignment="1">
      <alignment horizontal="center" vertical="center" wrapText="1"/>
    </xf>
    <xf numFmtId="167" fontId="2" fillId="39" borderId="28" xfId="0" applyNumberFormat="1" applyFont="1" applyFill="1" applyBorder="1" applyAlignment="1">
      <alignment horizontal="center" vertical="center"/>
    </xf>
    <xf numFmtId="0" fontId="4" fillId="0" borderId="0" xfId="0" applyFont="1" applyBorder="1" applyAlignment="1">
      <alignment horizontal="left" vertical="top"/>
    </xf>
    <xf numFmtId="168" fontId="19" fillId="18" borderId="0" xfId="0" applyNumberFormat="1" applyFont="1" applyFill="1" applyBorder="1" applyAlignment="1">
      <alignment horizontal="right"/>
    </xf>
    <xf numFmtId="169" fontId="20" fillId="14" borderId="0" xfId="0" applyNumberFormat="1" applyFont="1" applyFill="1" applyBorder="1" applyAlignment="1">
      <alignment horizontal="left"/>
    </xf>
    <xf numFmtId="169" fontId="61" fillId="14" borderId="0" xfId="0" applyNumberFormat="1" applyFont="1" applyFill="1" applyBorder="1" applyAlignment="1">
      <alignment horizontal="left"/>
    </xf>
    <xf numFmtId="0" fontId="60" fillId="0" borderId="0" xfId="13" applyFont="1" applyBorder="1"/>
    <xf numFmtId="0" fontId="9" fillId="23" borderId="0" xfId="0" applyFont="1" applyFill="1" applyBorder="1" applyAlignment="1">
      <alignment horizontal="right"/>
    </xf>
    <xf numFmtId="0" fontId="0" fillId="20" borderId="0" xfId="0" applyFill="1" applyBorder="1" applyAlignment="1">
      <alignment horizontal="center"/>
    </xf>
    <xf numFmtId="169" fontId="20" fillId="20" borderId="0" xfId="0" applyNumberFormat="1" applyFont="1" applyFill="1" applyBorder="1" applyAlignment="1">
      <alignment horizontal="left"/>
    </xf>
    <xf numFmtId="0" fontId="19" fillId="18" borderId="0" xfId="0" applyNumberFormat="1" applyFont="1" applyFill="1" applyBorder="1" applyAlignment="1">
      <alignment horizontal="right"/>
    </xf>
    <xf numFmtId="0" fontId="3" fillId="0" borderId="0" xfId="0" applyFont="1" applyBorder="1"/>
    <xf numFmtId="169" fontId="18" fillId="0" borderId="0" xfId="0" applyNumberFormat="1" applyFont="1" applyBorder="1"/>
    <xf numFmtId="0" fontId="0" fillId="26" borderId="5" xfId="15" applyFont="1" applyBorder="1"/>
    <xf numFmtId="0" fontId="2" fillId="12" borderId="12" xfId="0" applyFont="1" applyFill="1" applyBorder="1" applyAlignment="1">
      <alignment horizontal="center" vertical="center" wrapText="1"/>
    </xf>
    <xf numFmtId="0" fontId="4" fillId="12" borderId="12" xfId="0" applyFont="1" applyFill="1" applyBorder="1" applyAlignment="1">
      <alignment horizontal="right" vertical="center"/>
    </xf>
    <xf numFmtId="0" fontId="2" fillId="20" borderId="12" xfId="0" applyFont="1" applyFill="1" applyBorder="1" applyAlignment="1">
      <alignment horizontal="right"/>
    </xf>
    <xf numFmtId="167" fontId="5" fillId="25" borderId="80" xfId="0" applyNumberFormat="1" applyFont="1" applyFill="1" applyBorder="1" applyAlignment="1">
      <alignment horizontal="center" vertical="center" wrapText="1"/>
    </xf>
    <xf numFmtId="167" fontId="5" fillId="25" borderId="89" xfId="0" applyNumberFormat="1" applyFont="1" applyFill="1" applyBorder="1" applyAlignment="1">
      <alignment horizontal="center" vertical="center" wrapText="1"/>
    </xf>
    <xf numFmtId="0" fontId="6" fillId="2" borderId="21" xfId="3" applyFont="1" applyBorder="1" applyAlignment="1"/>
    <xf numFmtId="0" fontId="6" fillId="2" borderId="23" xfId="3" applyFont="1" applyBorder="1" applyAlignment="1"/>
    <xf numFmtId="0" fontId="39" fillId="47" borderId="98" xfId="23" applyFont="1"/>
    <xf numFmtId="0" fontId="0" fillId="47" borderId="98" xfId="23" applyFont="1"/>
    <xf numFmtId="0" fontId="6" fillId="37" borderId="11" xfId="14" applyNumberFormat="1" applyFont="1" applyFill="1" applyBorder="1" applyAlignment="1">
      <alignment horizontal="center" vertical="center" wrapText="1"/>
    </xf>
    <xf numFmtId="9" fontId="24" fillId="34" borderId="19" xfId="2" applyFont="1" applyFill="1" applyBorder="1" applyAlignment="1" applyProtection="1">
      <alignment horizontal="center"/>
    </xf>
    <xf numFmtId="165" fontId="6" fillId="2" borderId="16" xfId="3" applyNumberFormat="1" applyFont="1" applyBorder="1"/>
    <xf numFmtId="3" fontId="2" fillId="14" borderId="101" xfId="22" applyNumberFormat="1" applyFont="1" applyFill="1" applyBorder="1" applyAlignment="1">
      <alignment horizontal="center" vertical="center"/>
    </xf>
    <xf numFmtId="0" fontId="9" fillId="0" borderId="0" xfId="0" applyFont="1" applyAlignment="1">
      <alignment vertical="center"/>
    </xf>
    <xf numFmtId="165" fontId="3" fillId="2" borderId="16" xfId="3" applyNumberFormat="1" applyBorder="1"/>
    <xf numFmtId="1" fontId="3" fillId="2" borderId="16" xfId="3" applyNumberFormat="1" applyBorder="1" applyAlignment="1">
      <alignment horizontal="center"/>
    </xf>
    <xf numFmtId="0" fontId="67" fillId="0" borderId="0" xfId="10" applyFont="1" applyBorder="1"/>
    <xf numFmtId="0" fontId="19" fillId="0" borderId="0" xfId="0" applyFont="1"/>
    <xf numFmtId="3" fontId="24" fillId="14" borderId="12" xfId="1" applyNumberFormat="1" applyFont="1" applyFill="1" applyBorder="1" applyAlignment="1" applyProtection="1">
      <alignment horizontal="center"/>
    </xf>
    <xf numFmtId="176" fontId="2" fillId="14" borderId="102" xfId="22" applyNumberFormat="1" applyFont="1" applyFill="1" applyBorder="1" applyAlignment="1">
      <alignment horizontal="center" vertical="center"/>
    </xf>
    <xf numFmtId="176" fontId="2" fillId="14" borderId="103" xfId="22" applyNumberFormat="1" applyFont="1" applyFill="1" applyBorder="1" applyAlignment="1">
      <alignment horizontal="center" vertical="center"/>
    </xf>
    <xf numFmtId="3" fontId="0" fillId="13" borderId="3" xfId="0" applyNumberFormat="1" applyFill="1" applyBorder="1" applyAlignment="1">
      <alignment horizontal="center" vertical="center"/>
    </xf>
    <xf numFmtId="3" fontId="0" fillId="13" borderId="0" xfId="0" applyNumberFormat="1" applyFill="1" applyBorder="1" applyAlignment="1">
      <alignment horizontal="center" vertical="center"/>
    </xf>
    <xf numFmtId="3" fontId="0" fillId="15" borderId="0" xfId="0" applyNumberFormat="1" applyFill="1" applyBorder="1" applyAlignment="1">
      <alignment horizontal="center" vertical="center"/>
    </xf>
    <xf numFmtId="3" fontId="0" fillId="14" borderId="0" xfId="0" applyNumberFormat="1" applyFill="1" applyBorder="1" applyAlignment="1">
      <alignment horizontal="center" vertical="center"/>
    </xf>
    <xf numFmtId="3" fontId="2" fillId="39" borderId="97" xfId="0" applyNumberFormat="1" applyFont="1" applyFill="1" applyBorder="1" applyAlignment="1">
      <alignment horizontal="center" vertical="center"/>
    </xf>
    <xf numFmtId="3" fontId="21" fillId="0" borderId="0" xfId="0" applyNumberFormat="1" applyFont="1" applyBorder="1" applyAlignment="1">
      <alignment horizontal="center" vertical="center"/>
    </xf>
    <xf numFmtId="3" fontId="21" fillId="0" borderId="53" xfId="0" applyNumberFormat="1" applyFont="1" applyBorder="1" applyAlignment="1">
      <alignment horizontal="center" vertical="center"/>
    </xf>
    <xf numFmtId="3" fontId="24" fillId="17" borderId="30" xfId="0" applyNumberFormat="1" applyFont="1" applyFill="1" applyBorder="1" applyAlignment="1">
      <alignment vertical="center"/>
    </xf>
    <xf numFmtId="3" fontId="24" fillId="0" borderId="0" xfId="0" applyNumberFormat="1" applyFont="1" applyAlignment="1">
      <alignment vertical="center"/>
    </xf>
    <xf numFmtId="3" fontId="24" fillId="0" borderId="42" xfId="0" applyNumberFormat="1" applyFont="1" applyBorder="1" applyAlignment="1">
      <alignment vertical="center"/>
    </xf>
    <xf numFmtId="3" fontId="4" fillId="0" borderId="48" xfId="0" applyNumberFormat="1" applyFont="1" applyBorder="1" applyAlignment="1">
      <alignment horizontal="right" vertical="center"/>
    </xf>
    <xf numFmtId="3" fontId="0" fillId="0" borderId="0" xfId="0" applyNumberFormat="1" applyBorder="1" applyAlignment="1">
      <alignment horizontal="center" vertical="center"/>
    </xf>
    <xf numFmtId="3" fontId="0" fillId="0" borderId="49" xfId="0" applyNumberFormat="1" applyBorder="1" applyAlignment="1">
      <alignment horizontal="center" vertical="center"/>
    </xf>
    <xf numFmtId="3" fontId="9" fillId="0" borderId="48" xfId="0" applyNumberFormat="1" applyFont="1" applyBorder="1" applyAlignment="1">
      <alignment horizontal="right" vertical="center"/>
    </xf>
    <xf numFmtId="3" fontId="2" fillId="0" borderId="0" xfId="0" applyNumberFormat="1" applyFont="1" applyBorder="1" applyAlignment="1">
      <alignment horizontal="center" vertical="center"/>
    </xf>
    <xf numFmtId="3" fontId="2" fillId="0" borderId="49" xfId="0" applyNumberFormat="1" applyFont="1" applyBorder="1" applyAlignment="1">
      <alignment horizontal="center" vertical="center"/>
    </xf>
    <xf numFmtId="3" fontId="0" fillId="0" borderId="41" xfId="0" applyNumberFormat="1" applyBorder="1" applyAlignment="1">
      <alignment horizontal="center" vertical="center"/>
    </xf>
    <xf numFmtId="3" fontId="0" fillId="0" borderId="39" xfId="0" applyNumberFormat="1" applyBorder="1" applyAlignment="1">
      <alignment horizontal="center" vertical="center"/>
    </xf>
    <xf numFmtId="3" fontId="2" fillId="46" borderId="62" xfId="22" applyNumberFormat="1" applyFont="1" applyBorder="1" applyAlignment="1">
      <alignment horizontal="center" vertical="center"/>
    </xf>
    <xf numFmtId="3" fontId="2" fillId="46" borderId="8" xfId="22" applyNumberFormat="1" applyFont="1" applyBorder="1" applyAlignment="1">
      <alignment horizontal="center" vertical="center"/>
    </xf>
    <xf numFmtId="3" fontId="0" fillId="0" borderId="57" xfId="0" applyNumberFormat="1" applyBorder="1" applyAlignment="1">
      <alignment horizontal="center" vertical="center"/>
    </xf>
    <xf numFmtId="3" fontId="0" fillId="0" borderId="7" xfId="0" applyNumberFormat="1" applyBorder="1" applyAlignment="1">
      <alignment horizontal="center" vertical="center"/>
    </xf>
    <xf numFmtId="0" fontId="68" fillId="26" borderId="8" xfId="15" applyFont="1" applyBorder="1" applyAlignment="1">
      <alignment horizontal="right"/>
    </xf>
    <xf numFmtId="0" fontId="4" fillId="0" borderId="0" xfId="0" applyFont="1" applyBorder="1" applyAlignment="1">
      <alignment horizontal="right" vertical="center" wrapText="1"/>
    </xf>
    <xf numFmtId="0" fontId="6" fillId="2" borderId="20" xfId="3" applyFont="1" applyBorder="1" applyAlignment="1"/>
    <xf numFmtId="0" fontId="4" fillId="12" borderId="12" xfId="0" applyFont="1" applyFill="1" applyBorder="1" applyAlignment="1">
      <alignment horizontal="right" vertical="center" wrapText="1"/>
    </xf>
    <xf numFmtId="167" fontId="6" fillId="2" borderId="16" xfId="3" applyNumberFormat="1" applyFont="1" applyBorder="1" applyAlignment="1"/>
    <xf numFmtId="9" fontId="4" fillId="0" borderId="12" xfId="2" applyFont="1" applyFill="1" applyBorder="1"/>
    <xf numFmtId="166" fontId="4" fillId="0" borderId="12" xfId="2" applyNumberFormat="1" applyFont="1" applyFill="1" applyBorder="1"/>
    <xf numFmtId="9" fontId="14" fillId="40" borderId="12" xfId="2" applyFont="1" applyFill="1" applyBorder="1" applyAlignment="1" applyProtection="1">
      <alignment horizontal="center" vertical="center" wrapText="1"/>
    </xf>
    <xf numFmtId="0" fontId="2" fillId="12" borderId="81" xfId="0" applyFont="1" applyFill="1" applyBorder="1" applyAlignment="1">
      <alignment horizontal="center"/>
    </xf>
    <xf numFmtId="167" fontId="2" fillId="0" borderId="55" xfId="0" applyNumberFormat="1" applyFont="1" applyBorder="1" applyAlignment="1">
      <alignment horizontal="center" vertical="center"/>
    </xf>
    <xf numFmtId="167" fontId="2" fillId="0" borderId="1" xfId="0" applyNumberFormat="1" applyFont="1" applyBorder="1" applyAlignment="1">
      <alignment horizontal="center" vertical="center"/>
    </xf>
    <xf numFmtId="167" fontId="2" fillId="0" borderId="40" xfId="0" applyNumberFormat="1" applyFont="1" applyBorder="1" applyAlignment="1">
      <alignment horizontal="center" vertical="center"/>
    </xf>
    <xf numFmtId="167" fontId="2" fillId="0" borderId="3" xfId="0" applyNumberFormat="1" applyFont="1" applyBorder="1" applyAlignment="1">
      <alignment horizontal="center" vertical="center"/>
    </xf>
    <xf numFmtId="0" fontId="71" fillId="0" borderId="0" xfId="0" applyFont="1"/>
    <xf numFmtId="0" fontId="2" fillId="12" borderId="12" xfId="0" applyFont="1" applyFill="1" applyBorder="1" applyAlignment="1">
      <alignment horizontal="center" vertical="center"/>
    </xf>
    <xf numFmtId="0" fontId="3" fillId="49" borderId="0" xfId="11" applyFill="1" applyAlignment="1">
      <alignment horizontal="center"/>
    </xf>
    <xf numFmtId="0" fontId="3" fillId="10" borderId="0" xfId="11" applyAlignment="1">
      <alignment horizontal="right" vertical="center"/>
    </xf>
    <xf numFmtId="0" fontId="0" fillId="0" borderId="0" xfId="0" applyAlignment="1">
      <alignment horizontal="right" vertical="center"/>
    </xf>
    <xf numFmtId="0" fontId="3" fillId="2" borderId="0" xfId="3" applyAlignment="1">
      <alignment vertical="center"/>
    </xf>
    <xf numFmtId="0" fontId="6" fillId="10" borderId="0" xfId="11" applyFont="1" applyAlignment="1">
      <alignment horizontal="right" vertical="center"/>
    </xf>
    <xf numFmtId="0" fontId="0" fillId="0" borderId="12" xfId="0" applyBorder="1" applyAlignment="1">
      <alignment horizontal="right" vertical="center"/>
    </xf>
    <xf numFmtId="0" fontId="0" fillId="20" borderId="12" xfId="0" applyFill="1" applyBorder="1" applyAlignment="1">
      <alignment vertical="center"/>
    </xf>
    <xf numFmtId="0" fontId="4" fillId="0" borderId="0" xfId="0" applyFont="1" applyBorder="1" applyAlignment="1">
      <alignment vertical="center" wrapText="1"/>
    </xf>
    <xf numFmtId="0" fontId="0" fillId="0" borderId="0" xfId="0" applyAlignment="1">
      <alignment vertical="center" wrapText="1"/>
    </xf>
    <xf numFmtId="0" fontId="2" fillId="12" borderId="0" xfId="0" applyFont="1" applyFill="1" applyBorder="1" applyAlignment="1">
      <alignment horizontal="right" vertical="center"/>
    </xf>
    <xf numFmtId="0" fontId="3" fillId="32" borderId="0" xfId="5" applyFill="1" applyAlignment="1">
      <alignment horizontal="right" vertical="center"/>
    </xf>
    <xf numFmtId="0" fontId="3" fillId="30" borderId="0" xfId="17" applyAlignment="1">
      <alignment horizontal="right" vertical="center"/>
    </xf>
    <xf numFmtId="0" fontId="3" fillId="4" borderId="0" xfId="5" applyAlignment="1">
      <alignment horizontal="right" vertical="center"/>
    </xf>
    <xf numFmtId="0" fontId="10" fillId="10" borderId="0" xfId="11" applyFont="1" applyAlignment="1">
      <alignment horizontal="right" vertical="center"/>
    </xf>
    <xf numFmtId="0" fontId="67" fillId="0" borderId="0" xfId="10" applyFont="1" applyAlignment="1">
      <alignment vertical="center"/>
    </xf>
    <xf numFmtId="0" fontId="3" fillId="24" borderId="1" xfId="14" applyBorder="1" applyAlignment="1">
      <alignment horizontal="centerContinuous" vertical="center"/>
    </xf>
    <xf numFmtId="0" fontId="6" fillId="24" borderId="1" xfId="14" applyFont="1" applyBorder="1" applyAlignment="1">
      <alignment horizontal="centerContinuous" vertical="center"/>
    </xf>
    <xf numFmtId="0" fontId="6" fillId="24" borderId="2" xfId="14" applyFont="1" applyBorder="1" applyAlignment="1">
      <alignment horizontal="centerContinuous" vertical="center"/>
    </xf>
    <xf numFmtId="0" fontId="6" fillId="24" borderId="6" xfId="14" applyFont="1" applyBorder="1" applyAlignment="1">
      <alignment horizontal="centerContinuous" vertical="center"/>
    </xf>
    <xf numFmtId="0" fontId="2" fillId="50" borderId="12" xfId="4" applyFont="1" applyFill="1" applyBorder="1" applyAlignment="1">
      <alignment horizontal="center" vertical="center" wrapText="1"/>
    </xf>
    <xf numFmtId="0" fontId="2" fillId="50" borderId="12" xfId="0" applyFont="1" applyFill="1" applyBorder="1" applyAlignment="1">
      <alignment horizontal="right"/>
    </xf>
    <xf numFmtId="0" fontId="4" fillId="50" borderId="12" xfId="0" applyFont="1" applyFill="1" applyBorder="1" applyAlignment="1">
      <alignment horizontal="right"/>
    </xf>
    <xf numFmtId="0" fontId="2" fillId="25" borderId="12" xfId="4" applyFont="1" applyFill="1" applyBorder="1" applyAlignment="1">
      <alignment horizontal="center" vertical="center" wrapText="1"/>
    </xf>
    <xf numFmtId="167" fontId="2" fillId="25" borderId="12" xfId="0" applyNumberFormat="1" applyFont="1" applyFill="1" applyBorder="1"/>
    <xf numFmtId="167" fontId="4" fillId="25" borderId="12" xfId="0" applyNumberFormat="1" applyFont="1" applyFill="1" applyBorder="1"/>
    <xf numFmtId="0" fontId="20" fillId="14" borderId="0" xfId="0" applyFont="1" applyFill="1" applyAlignment="1">
      <alignment horizontal="left" vertical="center" indent="1"/>
    </xf>
    <xf numFmtId="0" fontId="20" fillId="0" borderId="0" xfId="0" applyFont="1" applyAlignment="1">
      <alignment horizontal="left" vertical="center" indent="1"/>
    </xf>
    <xf numFmtId="0" fontId="19" fillId="0" borderId="0" xfId="0" applyFont="1" applyAlignment="1">
      <alignment horizontal="left" indent="1"/>
    </xf>
    <xf numFmtId="0" fontId="2" fillId="21" borderId="9" xfId="0" applyFont="1" applyFill="1" applyBorder="1" applyAlignment="1">
      <alignment horizontal="center" vertical="center" wrapText="1"/>
    </xf>
    <xf numFmtId="0" fontId="2" fillId="22" borderId="11" xfId="0" applyFont="1" applyFill="1" applyBorder="1" applyAlignment="1">
      <alignment horizontal="center" vertical="center" wrapText="1"/>
    </xf>
    <xf numFmtId="0" fontId="2" fillId="21" borderId="11" xfId="0" applyFont="1" applyFill="1" applyBorder="1" applyAlignment="1">
      <alignment horizontal="center" vertical="center" wrapText="1"/>
    </xf>
    <xf numFmtId="0" fontId="0" fillId="20" borderId="6" xfId="0" applyNumberFormat="1" applyFill="1" applyBorder="1" applyAlignment="1">
      <alignment horizontal="center" vertical="center"/>
    </xf>
    <xf numFmtId="0" fontId="0" fillId="20" borderId="8" xfId="0" applyNumberFormat="1" applyFill="1" applyBorder="1" applyAlignment="1">
      <alignment horizontal="center" vertical="center"/>
    </xf>
    <xf numFmtId="167" fontId="2" fillId="46" borderId="40" xfId="22" applyNumberFormat="1" applyFont="1" applyBorder="1" applyAlignment="1">
      <alignment horizontal="center" vertical="center"/>
    </xf>
    <xf numFmtId="167" fontId="2" fillId="46" borderId="3" xfId="22" applyNumberFormat="1" applyFont="1" applyBorder="1" applyAlignment="1">
      <alignment horizontal="center" vertical="center"/>
    </xf>
    <xf numFmtId="0" fontId="6" fillId="24" borderId="9" xfId="14" applyNumberFormat="1" applyFont="1" applyBorder="1" applyAlignment="1">
      <alignment horizontal="center" vertical="center"/>
    </xf>
    <xf numFmtId="0" fontId="6" fillId="24" borderId="10" xfId="14" applyNumberFormat="1" applyFont="1" applyBorder="1" applyAlignment="1">
      <alignment horizontal="center" vertical="center"/>
    </xf>
    <xf numFmtId="0" fontId="6" fillId="24" borderId="11" xfId="14" applyNumberFormat="1" applyFont="1" applyBorder="1" applyAlignment="1">
      <alignment horizontal="center" vertical="center"/>
    </xf>
    <xf numFmtId="167" fontId="0" fillId="0" borderId="106" xfId="0" applyNumberFormat="1" applyBorder="1" applyAlignment="1">
      <alignment horizontal="center" vertical="center"/>
    </xf>
    <xf numFmtId="167" fontId="0" fillId="0" borderId="4" xfId="0" applyNumberFormat="1" applyBorder="1" applyAlignment="1">
      <alignment horizontal="center" vertical="center"/>
    </xf>
    <xf numFmtId="167" fontId="0" fillId="0" borderId="63" xfId="0" applyNumberFormat="1" applyBorder="1" applyAlignment="1">
      <alignment horizontal="center" vertical="center"/>
    </xf>
    <xf numFmtId="167" fontId="0" fillId="0" borderId="107" xfId="0" applyNumberFormat="1" applyBorder="1" applyAlignment="1">
      <alignment horizontal="center" vertical="center"/>
    </xf>
    <xf numFmtId="167" fontId="2" fillId="0" borderId="105" xfId="0" applyNumberFormat="1" applyFont="1" applyBorder="1" applyAlignment="1">
      <alignment horizontal="center" vertical="center"/>
    </xf>
    <xf numFmtId="167" fontId="2" fillId="0" borderId="106" xfId="0" applyNumberFormat="1" applyFont="1" applyBorder="1" applyAlignment="1">
      <alignment horizontal="center" vertical="center"/>
    </xf>
    <xf numFmtId="167" fontId="2" fillId="0" borderId="9" xfId="0" applyNumberFormat="1" applyFont="1" applyBorder="1" applyAlignment="1">
      <alignment horizontal="center" vertical="center"/>
    </xf>
    <xf numFmtId="167" fontId="2" fillId="0" borderId="108" xfId="0" applyNumberFormat="1" applyFont="1" applyBorder="1" applyAlignment="1">
      <alignment horizontal="center" vertical="center"/>
    </xf>
    <xf numFmtId="167" fontId="2" fillId="0" borderId="109" xfId="0" applyNumberFormat="1" applyFont="1" applyBorder="1" applyAlignment="1">
      <alignment horizontal="center" vertical="center"/>
    </xf>
    <xf numFmtId="0" fontId="10" fillId="24" borderId="9" xfId="14" applyFont="1" applyBorder="1" applyAlignment="1">
      <alignment vertical="center"/>
    </xf>
    <xf numFmtId="0" fontId="10" fillId="24" borderId="10" xfId="14" applyFont="1" applyBorder="1" applyAlignment="1">
      <alignment vertical="center"/>
    </xf>
    <xf numFmtId="0" fontId="10" fillId="24" borderId="11" xfId="14" applyFont="1" applyBorder="1" applyAlignment="1">
      <alignment vertical="center"/>
    </xf>
    <xf numFmtId="0" fontId="10" fillId="24" borderId="108" xfId="14" applyFont="1" applyBorder="1" applyAlignment="1">
      <alignment vertical="center"/>
    </xf>
    <xf numFmtId="167" fontId="2" fillId="46" borderId="41" xfId="22" applyNumberFormat="1" applyFont="1" applyBorder="1" applyAlignment="1">
      <alignment horizontal="center" vertical="center"/>
    </xf>
    <xf numFmtId="167" fontId="2" fillId="46" borderId="7" xfId="22" applyNumberFormat="1" applyFont="1" applyBorder="1" applyAlignment="1">
      <alignment horizontal="center" vertical="center"/>
    </xf>
    <xf numFmtId="0" fontId="6" fillId="2" borderId="64" xfId="3" applyFont="1" applyBorder="1" applyAlignment="1">
      <alignment horizontal="center" vertical="center" wrapText="1"/>
    </xf>
    <xf numFmtId="0" fontId="6" fillId="24" borderId="64" xfId="14" applyNumberFormat="1" applyFont="1" applyBorder="1" applyAlignment="1">
      <alignment horizontal="center" vertical="center"/>
    </xf>
    <xf numFmtId="0" fontId="6" fillId="24" borderId="64" xfId="14" applyFont="1" applyBorder="1" applyAlignment="1">
      <alignment horizontal="center" vertical="center"/>
    </xf>
    <xf numFmtId="167" fontId="0" fillId="0" borderId="0" xfId="0" applyNumberFormat="1" applyAlignment="1">
      <alignment horizontal="left" vertical="center"/>
    </xf>
    <xf numFmtId="167" fontId="2" fillId="13" borderId="3" xfId="0" applyNumberFormat="1" applyFont="1" applyFill="1" applyBorder="1" applyAlignment="1">
      <alignment horizontal="center" vertical="center"/>
    </xf>
    <xf numFmtId="167" fontId="2" fillId="13" borderId="0" xfId="0" applyNumberFormat="1" applyFont="1" applyFill="1" applyBorder="1" applyAlignment="1">
      <alignment horizontal="center" vertical="center"/>
    </xf>
    <xf numFmtId="167" fontId="2" fillId="15" borderId="0" xfId="0" applyNumberFormat="1" applyFont="1" applyFill="1" applyBorder="1" applyAlignment="1">
      <alignment horizontal="center" vertical="center"/>
    </xf>
    <xf numFmtId="167" fontId="2" fillId="39" borderId="97" xfId="0" applyNumberFormat="1" applyFont="1" applyFill="1" applyBorder="1" applyAlignment="1">
      <alignment horizontal="center" vertical="center"/>
    </xf>
    <xf numFmtId="173" fontId="0" fillId="18" borderId="0" xfId="0" applyNumberFormat="1" applyFill="1" applyAlignment="1">
      <alignment horizontal="center" vertical="center"/>
    </xf>
    <xf numFmtId="174" fontId="0" fillId="18" borderId="0" xfId="18" applyNumberFormat="1" applyFont="1" applyFill="1" applyAlignment="1">
      <alignment horizontal="center" vertical="center"/>
    </xf>
    <xf numFmtId="0" fontId="71" fillId="7" borderId="0" xfId="8" applyFont="1" applyBorder="1" applyAlignment="1">
      <alignment horizontal="left"/>
    </xf>
    <xf numFmtId="175" fontId="73" fillId="0" borderId="12" xfId="0" applyNumberFormat="1" applyFont="1" applyBorder="1" applyAlignment="1">
      <alignment horizontal="center" vertical="center"/>
    </xf>
    <xf numFmtId="0" fontId="76" fillId="0" borderId="12" xfId="0" applyFont="1" applyBorder="1" applyAlignment="1">
      <alignment horizontal="center" vertical="center"/>
    </xf>
    <xf numFmtId="0" fontId="76" fillId="0" borderId="12" xfId="0" quotePrefix="1" applyFont="1" applyBorder="1" applyAlignment="1">
      <alignment horizontal="center" vertical="center"/>
    </xf>
    <xf numFmtId="0" fontId="1" fillId="51" borderId="0" xfId="25" applyBorder="1" applyAlignment="1">
      <alignment vertical="center" wrapText="1"/>
    </xf>
    <xf numFmtId="3" fontId="25" fillId="48" borderId="104" xfId="24" applyNumberFormat="1" applyFont="1" applyAlignment="1">
      <alignment horizontal="center" vertical="center"/>
    </xf>
    <xf numFmtId="0" fontId="65" fillId="0" borderId="0" xfId="0" applyFont="1" applyAlignment="1">
      <alignment wrapText="1"/>
    </xf>
    <xf numFmtId="3" fontId="0" fillId="0" borderId="12" xfId="0" applyNumberFormat="1" applyBorder="1"/>
    <xf numFmtId="0" fontId="0" fillId="0" borderId="12" xfId="0" applyBorder="1"/>
    <xf numFmtId="0" fontId="0" fillId="0" borderId="15" xfId="0" applyBorder="1"/>
    <xf numFmtId="9" fontId="25" fillId="34" borderId="20" xfId="2" applyFont="1" applyFill="1" applyBorder="1" applyAlignment="1" applyProtection="1">
      <alignment horizontal="center"/>
    </xf>
    <xf numFmtId="3" fontId="0" fillId="0" borderId="16" xfId="0" applyNumberFormat="1" applyBorder="1"/>
    <xf numFmtId="0" fontId="0" fillId="0" borderId="16" xfId="0" applyBorder="1"/>
    <xf numFmtId="0" fontId="0" fillId="0" borderId="17" xfId="0" applyBorder="1"/>
    <xf numFmtId="0" fontId="0" fillId="0" borderId="118" xfId="0" applyBorder="1"/>
    <xf numFmtId="0" fontId="0" fillId="0" borderId="119" xfId="0" applyBorder="1"/>
    <xf numFmtId="3" fontId="0" fillId="0" borderId="118" xfId="0" applyNumberFormat="1" applyBorder="1"/>
    <xf numFmtId="164" fontId="24" fillId="53" borderId="19" xfId="2" applyNumberFormat="1" applyFont="1" applyFill="1" applyBorder="1" applyAlignment="1" applyProtection="1">
      <alignment horizontal="center"/>
    </xf>
    <xf numFmtId="166" fontId="24" fillId="53" borderId="19" xfId="2" applyNumberFormat="1" applyFont="1" applyFill="1" applyBorder="1" applyAlignment="1" applyProtection="1">
      <alignment horizontal="center"/>
    </xf>
    <xf numFmtId="9" fontId="24" fillId="53" borderId="19" xfId="2" applyFont="1" applyFill="1" applyBorder="1" applyAlignment="1" applyProtection="1">
      <alignment horizontal="center"/>
    </xf>
    <xf numFmtId="9" fontId="25" fillId="53" borderId="20" xfId="2" applyFont="1" applyFill="1" applyBorder="1" applyAlignment="1" applyProtection="1">
      <alignment horizontal="center"/>
    </xf>
    <xf numFmtId="164" fontId="24" fillId="52" borderId="19" xfId="2" applyNumberFormat="1" applyFont="1" applyFill="1" applyBorder="1" applyAlignment="1" applyProtection="1">
      <alignment horizontal="center"/>
    </xf>
    <xf numFmtId="9" fontId="25" fillId="52" borderId="20" xfId="2" applyFont="1" applyFill="1" applyBorder="1" applyAlignment="1" applyProtection="1">
      <alignment horizontal="center"/>
    </xf>
    <xf numFmtId="0" fontId="1" fillId="44" borderId="0" xfId="21" applyBorder="1" applyAlignment="1">
      <alignment horizontal="left" vertical="center" wrapText="1"/>
    </xf>
    <xf numFmtId="0" fontId="1" fillId="44" borderId="0" xfId="21" applyBorder="1" applyAlignment="1">
      <alignment horizontal="left" vertical="center"/>
    </xf>
    <xf numFmtId="0" fontId="2" fillId="0" borderId="12" xfId="0" applyFont="1" applyBorder="1" applyAlignment="1">
      <alignment horizontal="center" vertical="center" wrapText="1"/>
    </xf>
    <xf numFmtId="0" fontId="2" fillId="0" borderId="15" xfId="0" applyFont="1" applyBorder="1" applyAlignment="1">
      <alignment horizontal="center" vertical="center" wrapText="1"/>
    </xf>
    <xf numFmtId="0" fontId="71" fillId="20" borderId="4" xfId="0" applyNumberFormat="1" applyFont="1" applyFill="1" applyBorder="1" applyAlignment="1" applyProtection="1">
      <alignment horizontal="center" vertical="center"/>
      <protection locked="0"/>
    </xf>
    <xf numFmtId="0" fontId="71" fillId="20" borderId="8" xfId="0" applyNumberFormat="1" applyFont="1" applyFill="1" applyBorder="1" applyAlignment="1" applyProtection="1">
      <alignment horizontal="center" vertical="center"/>
      <protection locked="0"/>
    </xf>
    <xf numFmtId="169" fontId="20" fillId="20" borderId="0" xfId="0" applyNumberFormat="1" applyFont="1" applyFill="1" applyBorder="1" applyAlignment="1" applyProtection="1">
      <alignment horizontal="left"/>
      <protection locked="0"/>
    </xf>
    <xf numFmtId="173" fontId="1" fillId="5" borderId="0" xfId="6" applyNumberFormat="1" applyAlignment="1" applyProtection="1">
      <alignment vertical="center"/>
      <protection locked="0"/>
    </xf>
    <xf numFmtId="2" fontId="1" fillId="5" borderId="0" xfId="2" applyNumberFormat="1" applyFill="1" applyAlignment="1" applyProtection="1">
      <alignment vertical="center"/>
      <protection locked="0"/>
    </xf>
    <xf numFmtId="9" fontId="1" fillId="5" borderId="0" xfId="2" applyFill="1" applyAlignment="1" applyProtection="1">
      <alignment vertical="center"/>
      <protection locked="0"/>
    </xf>
    <xf numFmtId="0" fontId="1" fillId="5" borderId="0" xfId="6" applyAlignment="1" applyProtection="1">
      <alignment vertical="center"/>
      <protection locked="0"/>
    </xf>
    <xf numFmtId="9" fontId="1" fillId="5" borderId="0" xfId="6" applyNumberFormat="1" applyAlignment="1" applyProtection="1">
      <alignment vertical="center"/>
      <protection locked="0"/>
    </xf>
    <xf numFmtId="9" fontId="2" fillId="5" borderId="0" xfId="6" applyNumberFormat="1" applyFont="1" applyAlignment="1" applyProtection="1">
      <alignment vertical="center"/>
      <protection locked="0"/>
    </xf>
    <xf numFmtId="6" fontId="0" fillId="20" borderId="12" xfId="0" applyNumberFormat="1" applyFill="1" applyBorder="1" applyAlignment="1" applyProtection="1">
      <alignment vertical="center"/>
      <protection locked="0"/>
    </xf>
    <xf numFmtId="1" fontId="0" fillId="20" borderId="12" xfId="0" applyNumberFormat="1" applyFill="1" applyBorder="1" applyAlignment="1" applyProtection="1">
      <alignment vertical="center"/>
      <protection locked="0"/>
    </xf>
    <xf numFmtId="6" fontId="0" fillId="20" borderId="0" xfId="0" applyNumberFormat="1" applyFill="1" applyAlignment="1" applyProtection="1">
      <alignment vertical="center"/>
      <protection locked="0"/>
    </xf>
    <xf numFmtId="2" fontId="0" fillId="31" borderId="0" xfId="0" applyNumberFormat="1" applyFill="1" applyAlignment="1" applyProtection="1">
      <alignment vertical="center"/>
      <protection locked="0"/>
    </xf>
    <xf numFmtId="6" fontId="0" fillId="31" borderId="0" xfId="0" applyNumberFormat="1" applyFill="1" applyAlignment="1" applyProtection="1">
      <alignment vertical="center"/>
      <protection locked="0"/>
    </xf>
    <xf numFmtId="6" fontId="1" fillId="44" borderId="0" xfId="21" applyNumberFormat="1" applyAlignment="1" applyProtection="1">
      <alignment vertical="center"/>
      <protection locked="0"/>
    </xf>
    <xf numFmtId="9" fontId="1" fillId="44" borderId="0" xfId="2" applyFill="1" applyAlignment="1" applyProtection="1">
      <alignment vertical="center"/>
      <protection locked="0"/>
    </xf>
    <xf numFmtId="172" fontId="1" fillId="5" borderId="0" xfId="1" applyNumberFormat="1" applyFill="1" applyAlignment="1" applyProtection="1">
      <alignment vertical="center"/>
      <protection locked="0"/>
    </xf>
    <xf numFmtId="173" fontId="1" fillId="5" borderId="0" xfId="1" applyNumberFormat="1" applyFill="1" applyAlignment="1" applyProtection="1">
      <alignment vertical="center"/>
      <protection locked="0"/>
    </xf>
    <xf numFmtId="1" fontId="0" fillId="14" borderId="6" xfId="0" applyNumberFormat="1" applyFill="1" applyBorder="1" applyAlignment="1" applyProtection="1">
      <alignment horizontal="center" vertical="center"/>
      <protection locked="0"/>
    </xf>
    <xf numFmtId="1" fontId="0" fillId="14" borderId="8" xfId="0" applyNumberFormat="1" applyFill="1" applyBorder="1" applyAlignment="1" applyProtection="1">
      <alignment horizontal="center" vertical="center"/>
      <protection locked="0"/>
    </xf>
    <xf numFmtId="0" fontId="0" fillId="25" borderId="0" xfId="0" applyFill="1" applyAlignment="1" applyProtection="1">
      <alignment vertical="center"/>
      <protection locked="0"/>
    </xf>
    <xf numFmtId="1" fontId="5" fillId="0" borderId="83" xfId="0" applyNumberFormat="1" applyFont="1" applyBorder="1" applyAlignment="1" applyProtection="1">
      <alignment horizontal="center" vertical="center" wrapText="1"/>
      <protection locked="0"/>
    </xf>
    <xf numFmtId="173" fontId="5" fillId="0" borderId="83" xfId="0" applyNumberFormat="1" applyFont="1" applyBorder="1" applyAlignment="1" applyProtection="1">
      <alignment horizontal="center" vertical="center" wrapText="1"/>
      <protection locked="0"/>
    </xf>
    <xf numFmtId="173" fontId="5" fillId="0" borderId="84" xfId="0" applyNumberFormat="1" applyFont="1" applyBorder="1" applyAlignment="1" applyProtection="1">
      <alignment horizontal="center" vertical="center" wrapText="1"/>
      <protection locked="0"/>
    </xf>
    <xf numFmtId="0" fontId="0" fillId="14" borderId="6" xfId="0" applyNumberFormat="1" applyFill="1" applyBorder="1" applyAlignment="1" applyProtection="1">
      <alignment horizontal="center" vertical="center"/>
      <protection locked="0"/>
    </xf>
    <xf numFmtId="0" fontId="0" fillId="14" borderId="7" xfId="0" applyNumberFormat="1" applyFill="1" applyBorder="1" applyAlignment="1" applyProtection="1">
      <alignment horizontal="center" vertical="center"/>
      <protection locked="0"/>
    </xf>
    <xf numFmtId="0" fontId="0" fillId="14" borderId="8" xfId="0" applyNumberFormat="1" applyFill="1" applyBorder="1" applyAlignment="1" applyProtection="1">
      <alignment horizontal="center" vertical="center"/>
      <protection locked="0"/>
    </xf>
    <xf numFmtId="1" fontId="0" fillId="14" borderId="11" xfId="0" applyNumberFormat="1" applyFill="1" applyBorder="1" applyAlignment="1" applyProtection="1">
      <alignment horizontal="center" vertical="center"/>
      <protection locked="0"/>
    </xf>
    <xf numFmtId="2" fontId="0" fillId="22" borderId="27" xfId="0" applyNumberFormat="1" applyFill="1" applyBorder="1" applyAlignment="1" applyProtection="1">
      <alignment horizontal="center" vertical="center"/>
      <protection locked="0"/>
    </xf>
    <xf numFmtId="9" fontId="0" fillId="14" borderId="28" xfId="2" applyFont="1" applyFill="1" applyBorder="1" applyAlignment="1" applyProtection="1">
      <alignment horizontal="center" vertical="center"/>
      <protection locked="0"/>
    </xf>
    <xf numFmtId="0" fontId="2" fillId="0" borderId="0" xfId="0" applyFont="1" applyAlignment="1" applyProtection="1">
      <alignment horizontal="center" vertical="center" wrapText="1"/>
      <protection locked="0"/>
    </xf>
    <xf numFmtId="0" fontId="0" fillId="0" borderId="33" xfId="0" applyBorder="1" applyAlignment="1" applyProtection="1">
      <alignment vertical="center"/>
      <protection locked="0"/>
    </xf>
    <xf numFmtId="0" fontId="0" fillId="0" borderId="0" xfId="0" applyAlignment="1" applyProtection="1">
      <alignment vertical="center"/>
      <protection locked="0"/>
    </xf>
    <xf numFmtId="0" fontId="38" fillId="0" borderId="0" xfId="0" applyFont="1" applyAlignment="1" applyProtection="1">
      <alignment vertical="center"/>
      <protection locked="0"/>
    </xf>
    <xf numFmtId="0" fontId="0" fillId="0" borderId="0" xfId="0" applyAlignment="1" applyProtection="1">
      <alignment horizontal="center" vertical="center"/>
      <protection locked="0"/>
    </xf>
    <xf numFmtId="2" fontId="0" fillId="0" borderId="0" xfId="0" applyNumberFormat="1" applyBorder="1" applyAlignment="1" applyProtection="1">
      <alignment horizontal="center" vertical="center"/>
      <protection locked="0"/>
    </xf>
    <xf numFmtId="0" fontId="2" fillId="0" borderId="0" xfId="0" applyFont="1" applyAlignment="1" applyProtection="1">
      <alignment vertical="center"/>
      <protection locked="0"/>
    </xf>
    <xf numFmtId="0" fontId="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1" fillId="0" borderId="0" xfId="0" applyFont="1" applyAlignment="1" applyProtection="1">
      <alignment horizontal="left" vertical="center"/>
      <protection locked="0"/>
    </xf>
    <xf numFmtId="2" fontId="71" fillId="0" borderId="0" xfId="0" applyNumberFormat="1"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1" fillId="0" borderId="0" xfId="0" applyFont="1" applyAlignment="1" applyProtection="1">
      <alignment horizontal="center"/>
      <protection locked="0"/>
    </xf>
    <xf numFmtId="0" fontId="71" fillId="0" borderId="0" xfId="0" applyFont="1" applyAlignment="1" applyProtection="1">
      <alignment vertical="center"/>
      <protection locked="0"/>
    </xf>
    <xf numFmtId="2" fontId="71" fillId="20" borderId="0" xfId="0" applyNumberFormat="1" applyFont="1" applyFill="1" applyAlignment="1" applyProtection="1">
      <alignment vertical="center"/>
      <protection locked="0"/>
    </xf>
    <xf numFmtId="0" fontId="71" fillId="18" borderId="0" xfId="0" applyFont="1" applyFill="1" applyAlignment="1" applyProtection="1">
      <alignment horizontal="center" vertical="center"/>
      <protection locked="0"/>
    </xf>
    <xf numFmtId="0" fontId="71" fillId="18" borderId="0" xfId="0" applyFont="1" applyFill="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0" fillId="0" borderId="0" xfId="0" applyBorder="1" applyAlignment="1" applyProtection="1">
      <alignment horizontal="center" vertical="center"/>
      <protection locked="0"/>
    </xf>
    <xf numFmtId="9" fontId="0" fillId="0" borderId="0" xfId="0" applyNumberFormat="1" applyBorder="1" applyAlignment="1" applyProtection="1">
      <alignment horizontal="center" vertical="center"/>
      <protection locked="0"/>
    </xf>
    <xf numFmtId="173" fontId="0" fillId="18" borderId="0" xfId="0" applyNumberFormat="1" applyFill="1" applyAlignment="1" applyProtection="1">
      <alignment horizontal="center" vertical="center"/>
      <protection locked="0"/>
    </xf>
    <xf numFmtId="174" fontId="0" fillId="18" borderId="0" xfId="18" applyNumberFormat="1" applyFont="1" applyFill="1" applyAlignment="1" applyProtection="1">
      <alignment horizontal="center" vertical="center"/>
      <protection locked="0"/>
    </xf>
    <xf numFmtId="167" fontId="0" fillId="17" borderId="0" xfId="0" applyNumberFormat="1" applyFill="1" applyAlignment="1" applyProtection="1">
      <alignment vertical="center"/>
      <protection locked="0"/>
    </xf>
    <xf numFmtId="167" fontId="2" fillId="34" borderId="0" xfId="0" applyNumberFormat="1" applyFont="1" applyFill="1" applyAlignment="1" applyProtection="1">
      <alignment vertical="center"/>
      <protection locked="0"/>
    </xf>
    <xf numFmtId="167" fontId="0" fillId="0" borderId="0" xfId="0" applyNumberFormat="1" applyAlignment="1" applyProtection="1">
      <alignment horizontal="left" vertical="center"/>
      <protection locked="0"/>
    </xf>
    <xf numFmtId="43" fontId="0" fillId="25" borderId="0" xfId="18" applyFont="1" applyFill="1" applyAlignment="1" applyProtection="1">
      <alignment vertical="center"/>
      <protection locked="0"/>
    </xf>
    <xf numFmtId="43" fontId="0" fillId="31" borderId="0" xfId="18" applyFont="1" applyFill="1" applyAlignment="1" applyProtection="1">
      <alignment vertical="center"/>
      <protection locked="0"/>
    </xf>
    <xf numFmtId="172" fontId="0" fillId="17" borderId="29" xfId="1" applyNumberFormat="1" applyFont="1" applyFill="1" applyBorder="1" applyAlignment="1" applyProtection="1">
      <alignment vertical="center"/>
      <protection locked="0"/>
    </xf>
    <xf numFmtId="0" fontId="0" fillId="17" borderId="0" xfId="0" applyFill="1" applyBorder="1" applyAlignment="1" applyProtection="1">
      <alignment vertical="center"/>
      <protection locked="0"/>
    </xf>
    <xf numFmtId="172" fontId="0" fillId="17" borderId="0" xfId="1" applyNumberFormat="1" applyFont="1" applyFill="1" applyBorder="1" applyAlignment="1" applyProtection="1">
      <alignment vertical="center"/>
      <protection locked="0"/>
    </xf>
    <xf numFmtId="0" fontId="0" fillId="17" borderId="71" xfId="0" applyFill="1" applyBorder="1" applyAlignment="1" applyProtection="1">
      <alignment vertical="center"/>
      <protection locked="0"/>
    </xf>
    <xf numFmtId="0" fontId="0" fillId="18" borderId="0" xfId="0" applyFill="1" applyBorder="1" applyAlignment="1" applyProtection="1">
      <alignment horizontal="center" vertical="center"/>
      <protection locked="0"/>
    </xf>
    <xf numFmtId="0" fontId="0" fillId="0" borderId="0" xfId="0" applyAlignment="1" applyProtection="1">
      <alignment horizontal="left" vertical="center"/>
      <protection locked="0"/>
    </xf>
    <xf numFmtId="2" fontId="0" fillId="20" borderId="0" xfId="0" applyNumberFormat="1" applyFill="1" applyAlignment="1" applyProtection="1">
      <alignment vertical="center"/>
      <protection locked="0"/>
    </xf>
    <xf numFmtId="173" fontId="0" fillId="0" borderId="0" xfId="0" applyNumberFormat="1" applyAlignment="1" applyProtection="1">
      <alignment horizontal="center" vertical="center"/>
      <protection locked="0"/>
    </xf>
    <xf numFmtId="174" fontId="0" fillId="0" borderId="0" xfId="18" applyNumberFormat="1" applyFont="1" applyAlignment="1" applyProtection="1">
      <alignment horizontal="center" vertical="center"/>
      <protection locked="0"/>
    </xf>
    <xf numFmtId="0" fontId="3" fillId="2" borderId="2" xfId="3" applyBorder="1"/>
    <xf numFmtId="0" fontId="3" fillId="2" borderId="6" xfId="3" applyBorder="1"/>
    <xf numFmtId="0" fontId="3" fillId="2" borderId="3" xfId="3" applyBorder="1"/>
    <xf numFmtId="0" fontId="3" fillId="2" borderId="7" xfId="3" applyBorder="1"/>
    <xf numFmtId="0" fontId="2" fillId="12" borderId="120" xfId="0" applyFont="1" applyFill="1" applyBorder="1" applyAlignment="1">
      <alignment horizontal="right" indent="1"/>
    </xf>
    <xf numFmtId="0" fontId="2" fillId="12" borderId="121" xfId="0" applyFont="1" applyFill="1" applyBorder="1"/>
    <xf numFmtId="0" fontId="0" fillId="0" borderId="120" xfId="0" applyBorder="1" applyAlignment="1">
      <alignment horizontal="right" vertical="center" indent="1"/>
    </xf>
    <xf numFmtId="0" fontId="0" fillId="0" borderId="121" xfId="0" applyBorder="1" applyAlignment="1">
      <alignment horizontal="left" vertical="center" wrapText="1"/>
    </xf>
    <xf numFmtId="0" fontId="4" fillId="0" borderId="120" xfId="0" applyFont="1" applyBorder="1" applyAlignment="1">
      <alignment horizontal="right" vertical="center" indent="1"/>
    </xf>
    <xf numFmtId="0" fontId="4" fillId="0" borderId="122" xfId="0" applyFont="1" applyBorder="1" applyAlignment="1">
      <alignment horizontal="right" vertical="center" indent="1"/>
    </xf>
    <xf numFmtId="0" fontId="50" fillId="0" borderId="123" xfId="20" applyBorder="1" applyAlignment="1">
      <alignment horizontal="left" vertical="center" wrapText="1"/>
    </xf>
    <xf numFmtId="0" fontId="0" fillId="0" borderId="124" xfId="0" applyBorder="1" applyAlignment="1">
      <alignment horizontal="left" vertical="center" wrapText="1"/>
    </xf>
    <xf numFmtId="0" fontId="8" fillId="9" borderId="9" xfId="0" applyFont="1" applyFill="1" applyBorder="1" applyAlignment="1">
      <alignment horizontal="center"/>
    </xf>
    <xf numFmtId="0" fontId="8" fillId="9" borderId="10" xfId="0" applyFont="1" applyFill="1" applyBorder="1" applyAlignment="1">
      <alignment horizontal="center"/>
    </xf>
    <xf numFmtId="0" fontId="8" fillId="9" borderId="11" xfId="0" applyFont="1" applyFill="1" applyBorder="1" applyAlignment="1">
      <alignment horizontal="center"/>
    </xf>
    <xf numFmtId="0" fontId="0" fillId="18" borderId="0" xfId="0" applyFill="1" applyAlignment="1">
      <alignment horizontal="center" vertical="center" wrapText="1"/>
    </xf>
    <xf numFmtId="0" fontId="57" fillId="0" borderId="3" xfId="0" applyFont="1" applyBorder="1" applyAlignment="1">
      <alignment horizontal="left" vertical="top" wrapText="1" indent="1"/>
    </xf>
    <xf numFmtId="0" fontId="57" fillId="0" borderId="0" xfId="0" applyFont="1" applyBorder="1" applyAlignment="1">
      <alignment horizontal="left" vertical="top" indent="1"/>
    </xf>
    <xf numFmtId="0" fontId="57" fillId="0" borderId="7" xfId="0" applyFont="1" applyBorder="1" applyAlignment="1">
      <alignment horizontal="left" vertical="top" indent="1"/>
    </xf>
    <xf numFmtId="0" fontId="57" fillId="0" borderId="3" xfId="0" applyFont="1" applyBorder="1" applyAlignment="1">
      <alignment horizontal="left" vertical="top" wrapText="1"/>
    </xf>
    <xf numFmtId="0" fontId="57" fillId="0" borderId="0" xfId="0" applyFont="1" applyBorder="1" applyAlignment="1">
      <alignment horizontal="left" vertical="top" wrapText="1"/>
    </xf>
    <xf numFmtId="0" fontId="57" fillId="0" borderId="7" xfId="0" applyFont="1" applyBorder="1" applyAlignment="1">
      <alignment horizontal="left" vertical="top" wrapText="1"/>
    </xf>
    <xf numFmtId="0" fontId="57" fillId="0" borderId="4" xfId="0" applyFont="1" applyBorder="1" applyAlignment="1">
      <alignment horizontal="left" vertical="top" wrapText="1"/>
    </xf>
    <xf numFmtId="0" fontId="57" fillId="0" borderId="5" xfId="0" applyFont="1" applyBorder="1" applyAlignment="1">
      <alignment horizontal="left" vertical="top" wrapText="1"/>
    </xf>
    <xf numFmtId="0" fontId="57" fillId="0" borderId="8" xfId="0" applyFont="1" applyBorder="1" applyAlignment="1">
      <alignment horizontal="left" vertical="top" wrapText="1"/>
    </xf>
    <xf numFmtId="0" fontId="1" fillId="51" borderId="9" xfId="25" applyBorder="1" applyAlignment="1">
      <alignment horizontal="left" wrapText="1"/>
    </xf>
    <xf numFmtId="0" fontId="1" fillId="51" borderId="10" xfId="25" applyBorder="1" applyAlignment="1">
      <alignment horizontal="left"/>
    </xf>
    <xf numFmtId="0" fontId="1" fillId="51" borderId="11" xfId="25" applyBorder="1" applyAlignment="1">
      <alignment horizontal="left"/>
    </xf>
    <xf numFmtId="0" fontId="79" fillId="54" borderId="9" xfId="0" applyFont="1" applyFill="1" applyBorder="1" applyAlignment="1">
      <alignment horizontal="center" wrapText="1"/>
    </xf>
    <xf numFmtId="0" fontId="79" fillId="54" borderId="10" xfId="0" applyFont="1" applyFill="1" applyBorder="1" applyAlignment="1">
      <alignment horizontal="center" wrapText="1"/>
    </xf>
    <xf numFmtId="0" fontId="79" fillId="54" borderId="11" xfId="0" applyFont="1" applyFill="1" applyBorder="1" applyAlignment="1">
      <alignment horizontal="center" wrapText="1"/>
    </xf>
    <xf numFmtId="0" fontId="5" fillId="0" borderId="12" xfId="0" applyFont="1" applyBorder="1" applyAlignment="1">
      <alignment horizontal="left" vertical="center"/>
    </xf>
    <xf numFmtId="0" fontId="11" fillId="0" borderId="12" xfId="0" applyFont="1" applyFill="1" applyBorder="1" applyAlignment="1">
      <alignment horizontal="left" vertical="center"/>
    </xf>
    <xf numFmtId="0" fontId="29" fillId="18" borderId="0" xfId="7" applyFont="1" applyFill="1" applyBorder="1" applyAlignment="1">
      <alignment horizontal="right" vertical="center"/>
    </xf>
    <xf numFmtId="0" fontId="30" fillId="18" borderId="0" xfId="7" applyFont="1" applyFill="1" applyBorder="1" applyAlignment="1">
      <alignment horizontal="left" vertical="center" wrapText="1"/>
    </xf>
    <xf numFmtId="0" fontId="5" fillId="6" borderId="0" xfId="7" applyFont="1" applyBorder="1" applyAlignment="1">
      <alignment horizontal="left" vertical="center" wrapText="1"/>
    </xf>
    <xf numFmtId="0" fontId="4" fillId="6" borderId="0" xfId="7" applyFont="1" applyBorder="1" applyAlignment="1">
      <alignment horizontal="right" vertical="center"/>
    </xf>
    <xf numFmtId="0" fontId="72" fillId="0" borderId="0" xfId="0" applyFont="1" applyAlignment="1">
      <alignment horizontal="left" vertical="center" wrapText="1"/>
    </xf>
    <xf numFmtId="0" fontId="10" fillId="2" borderId="0" xfId="3" applyFont="1" applyBorder="1" applyAlignment="1">
      <alignment horizontal="right" vertical="center"/>
    </xf>
    <xf numFmtId="0" fontId="73" fillId="0" borderId="0" xfId="0" applyFont="1" applyAlignment="1">
      <alignment horizontal="left" vertical="center"/>
    </xf>
    <xf numFmtId="170" fontId="71" fillId="0" borderId="0" xfId="0" applyNumberFormat="1" applyFont="1" applyAlignment="1">
      <alignment horizontal="left" vertical="center"/>
    </xf>
    <xf numFmtId="0" fontId="12" fillId="5" borderId="12" xfId="6" applyFont="1" applyBorder="1" applyAlignment="1">
      <alignment horizontal="center"/>
    </xf>
    <xf numFmtId="0" fontId="73" fillId="0" borderId="12" xfId="0" applyFont="1" applyBorder="1" applyAlignment="1">
      <alignment horizontal="left" vertical="center" wrapText="1"/>
    </xf>
    <xf numFmtId="0" fontId="4" fillId="6" borderId="0" xfId="7" applyFont="1" applyBorder="1" applyAlignment="1">
      <alignment horizontal="right"/>
    </xf>
    <xf numFmtId="0" fontId="60" fillId="0" borderId="0" xfId="13" applyFont="1" applyBorder="1" applyAlignment="1">
      <alignment horizontal="center" vertical="center" wrapText="1"/>
    </xf>
    <xf numFmtId="10" fontId="2" fillId="15" borderId="27" xfId="2" applyNumberFormat="1" applyFont="1" applyFill="1" applyBorder="1" applyAlignment="1">
      <alignment horizontal="center" vertical="center"/>
    </xf>
    <xf numFmtId="10" fontId="2" fillId="15" borderId="28" xfId="2" applyNumberFormat="1" applyFont="1" applyFill="1" applyBorder="1" applyAlignment="1">
      <alignment horizontal="center" vertical="center"/>
    </xf>
    <xf numFmtId="0" fontId="6" fillId="19" borderId="0" xfId="0" applyFont="1" applyFill="1" applyBorder="1" applyAlignment="1">
      <alignment horizontal="center"/>
    </xf>
    <xf numFmtId="0" fontId="1" fillId="51" borderId="0" xfId="25" applyBorder="1" applyAlignment="1">
      <alignment horizontal="left"/>
    </xf>
    <xf numFmtId="0" fontId="1" fillId="51" borderId="0" xfId="25" applyAlignment="1">
      <alignment horizontal="left"/>
    </xf>
    <xf numFmtId="0" fontId="54" fillId="20" borderId="1" xfId="0" applyFont="1" applyFill="1" applyBorder="1" applyAlignment="1">
      <alignment horizontal="left" vertical="center" wrapText="1"/>
    </xf>
    <xf numFmtId="0" fontId="54" fillId="20" borderId="2" xfId="0" applyFont="1" applyFill="1" applyBorder="1" applyAlignment="1">
      <alignment horizontal="left" vertical="center" wrapText="1"/>
    </xf>
    <xf numFmtId="0" fontId="54" fillId="20" borderId="6" xfId="0" applyFont="1" applyFill="1" applyBorder="1" applyAlignment="1">
      <alignment horizontal="left" vertical="center" wrapText="1"/>
    </xf>
    <xf numFmtId="0" fontId="54" fillId="20" borderId="3" xfId="0" applyFont="1" applyFill="1" applyBorder="1" applyAlignment="1">
      <alignment horizontal="left" vertical="center" wrapText="1"/>
    </xf>
    <xf numFmtId="0" fontId="54" fillId="20" borderId="0" xfId="0" applyFont="1" applyFill="1" applyBorder="1" applyAlignment="1">
      <alignment horizontal="left" vertical="center" wrapText="1"/>
    </xf>
    <xf numFmtId="0" fontId="54" fillId="20" borderId="7" xfId="0" applyFont="1" applyFill="1" applyBorder="1" applyAlignment="1">
      <alignment horizontal="left" vertical="center" wrapText="1"/>
    </xf>
    <xf numFmtId="0" fontId="19" fillId="18" borderId="0" xfId="0" applyFont="1" applyFill="1" applyAlignment="1" applyProtection="1">
      <alignment horizontal="left" vertical="top" wrapText="1"/>
      <protection locked="0"/>
    </xf>
    <xf numFmtId="0" fontId="8" fillId="9" borderId="9" xfId="0" applyFont="1" applyFill="1" applyBorder="1" applyAlignment="1">
      <alignment horizontal="center" vertical="center"/>
    </xf>
    <xf numFmtId="0" fontId="8" fillId="9" borderId="10" xfId="0" applyFont="1" applyFill="1" applyBorder="1" applyAlignment="1">
      <alignment horizontal="center" vertical="center"/>
    </xf>
    <xf numFmtId="0" fontId="8" fillId="9" borderId="11" xfId="0" applyFont="1" applyFill="1" applyBorder="1" applyAlignment="1">
      <alignment horizontal="center" vertical="center"/>
    </xf>
    <xf numFmtId="0" fontId="57" fillId="0" borderId="0" xfId="0" applyFont="1" applyFill="1" applyAlignment="1">
      <alignment horizontal="center" vertical="center" wrapText="1"/>
    </xf>
    <xf numFmtId="0" fontId="57" fillId="0" borderId="0" xfId="0" applyFont="1" applyAlignment="1">
      <alignment horizontal="center" vertical="center" wrapText="1"/>
    </xf>
    <xf numFmtId="0" fontId="3" fillId="10" borderId="0" xfId="11" applyAlignment="1">
      <alignment horizontal="center"/>
    </xf>
    <xf numFmtId="0" fontId="19" fillId="18" borderId="0" xfId="0" applyFont="1" applyFill="1" applyAlignment="1">
      <alignment horizontal="left" vertical="top" wrapText="1"/>
    </xf>
    <xf numFmtId="0" fontId="1" fillId="51" borderId="0" xfId="25" applyBorder="1" applyAlignment="1">
      <alignment horizontal="left" vertical="center" wrapText="1"/>
    </xf>
    <xf numFmtId="0" fontId="4" fillId="0" borderId="2" xfId="0" applyFont="1" applyBorder="1" applyAlignment="1">
      <alignment horizontal="left" wrapText="1"/>
    </xf>
    <xf numFmtId="0" fontId="4" fillId="0" borderId="0" xfId="0" applyFont="1" applyBorder="1" applyAlignment="1">
      <alignment horizontal="left" wrapText="1"/>
    </xf>
    <xf numFmtId="0" fontId="36" fillId="37" borderId="9" xfId="14" applyFont="1" applyFill="1" applyBorder="1" applyAlignment="1">
      <alignment horizontal="center" vertical="center"/>
    </xf>
    <xf numFmtId="0" fontId="36" fillId="37" borderId="10" xfId="14" applyFont="1" applyFill="1" applyBorder="1" applyAlignment="1">
      <alignment horizontal="center" vertical="center"/>
    </xf>
    <xf numFmtId="0" fontId="36" fillId="37" borderId="11" xfId="14" applyFont="1" applyFill="1" applyBorder="1" applyAlignment="1">
      <alignment horizontal="center" vertical="center"/>
    </xf>
    <xf numFmtId="167" fontId="2" fillId="0" borderId="55" xfId="0" applyNumberFormat="1" applyFont="1" applyBorder="1" applyAlignment="1">
      <alignment horizontal="center" vertical="center"/>
    </xf>
    <xf numFmtId="167" fontId="2" fillId="0" borderId="6" xfId="0" applyNumberFormat="1" applyFont="1" applyBorder="1" applyAlignment="1">
      <alignment horizontal="center" vertical="center"/>
    </xf>
    <xf numFmtId="167" fontId="2" fillId="0" borderId="1" xfId="0" applyNumberFormat="1" applyFont="1" applyBorder="1" applyAlignment="1">
      <alignment horizontal="center" vertical="center"/>
    </xf>
    <xf numFmtId="167" fontId="2" fillId="0" borderId="54" xfId="0" applyNumberFormat="1" applyFont="1" applyBorder="1" applyAlignment="1">
      <alignment horizontal="center" vertical="center"/>
    </xf>
    <xf numFmtId="167" fontId="2" fillId="0" borderId="36" xfId="0" applyNumberFormat="1" applyFont="1" applyBorder="1" applyAlignment="1">
      <alignment horizontal="center" vertical="center"/>
    </xf>
    <xf numFmtId="167" fontId="2" fillId="0" borderId="61" xfId="0" applyNumberFormat="1" applyFont="1" applyBorder="1" applyAlignment="1">
      <alignment horizontal="center" vertical="center"/>
    </xf>
    <xf numFmtId="167" fontId="2" fillId="0" borderId="40" xfId="0" applyNumberFormat="1" applyFont="1" applyBorder="1" applyAlignment="1">
      <alignment horizontal="center" vertical="center"/>
    </xf>
    <xf numFmtId="167" fontId="2" fillId="0" borderId="7" xfId="0" applyNumberFormat="1" applyFont="1" applyBorder="1" applyAlignment="1">
      <alignment horizontal="center" vertical="center"/>
    </xf>
    <xf numFmtId="0" fontId="10" fillId="24" borderId="43" xfId="14" applyFont="1" applyBorder="1" applyAlignment="1">
      <alignment horizontal="center" vertical="center"/>
    </xf>
    <xf numFmtId="0" fontId="10" fillId="24" borderId="44" xfId="14" applyFont="1" applyBorder="1" applyAlignment="1">
      <alignment horizontal="center" vertical="center"/>
    </xf>
    <xf numFmtId="167" fontId="2" fillId="0" borderId="41" xfId="0" applyNumberFormat="1" applyFont="1" applyBorder="1" applyAlignment="1">
      <alignment horizontal="center" vertical="center"/>
    </xf>
    <xf numFmtId="167" fontId="2" fillId="0" borderId="37" xfId="0" applyNumberFormat="1" applyFont="1" applyBorder="1" applyAlignment="1">
      <alignment horizontal="center" vertical="center"/>
    </xf>
    <xf numFmtId="167" fontId="2" fillId="0" borderId="3" xfId="0" applyNumberFormat="1" applyFont="1" applyBorder="1" applyAlignment="1">
      <alignment horizontal="center" vertical="center"/>
    </xf>
    <xf numFmtId="9" fontId="6" fillId="24" borderId="68" xfId="14" applyNumberFormat="1" applyFont="1" applyBorder="1" applyAlignment="1">
      <alignment horizontal="center" vertical="center"/>
    </xf>
    <xf numFmtId="9" fontId="6" fillId="24" borderId="2" xfId="14" applyNumberFormat="1" applyFont="1" applyBorder="1" applyAlignment="1">
      <alignment horizontal="center" vertical="center"/>
    </xf>
    <xf numFmtId="9" fontId="6" fillId="24" borderId="70" xfId="14" applyNumberFormat="1" applyFont="1" applyBorder="1" applyAlignment="1">
      <alignment horizontal="center" vertical="center"/>
    </xf>
    <xf numFmtId="0" fontId="36" fillId="32" borderId="0" xfId="14" applyFont="1" applyFill="1" applyBorder="1" applyAlignment="1">
      <alignment horizontal="center" vertical="center"/>
    </xf>
    <xf numFmtId="167" fontId="2" fillId="0" borderId="60" xfId="0" applyNumberFormat="1" applyFont="1" applyBorder="1" applyAlignment="1">
      <alignment horizontal="center" vertical="center"/>
    </xf>
    <xf numFmtId="0" fontId="10" fillId="24" borderId="58" xfId="14" applyFont="1" applyBorder="1" applyAlignment="1">
      <alignment horizontal="center" vertical="center"/>
    </xf>
    <xf numFmtId="0" fontId="10" fillId="24" borderId="65" xfId="14" applyFont="1" applyBorder="1" applyAlignment="1">
      <alignment horizontal="center" vertical="center"/>
    </xf>
    <xf numFmtId="0" fontId="36" fillId="19" borderId="0" xfId="14" applyFont="1" applyFill="1" applyBorder="1" applyAlignment="1">
      <alignment horizontal="center" vertical="center"/>
    </xf>
    <xf numFmtId="0" fontId="36" fillId="19" borderId="71" xfId="14" applyFont="1" applyFill="1" applyBorder="1" applyAlignment="1">
      <alignment horizontal="center" vertical="center"/>
    </xf>
    <xf numFmtId="0" fontId="36" fillId="36" borderId="0" xfId="14" applyFont="1" applyFill="1" applyBorder="1" applyAlignment="1">
      <alignment horizontal="center" vertical="center"/>
    </xf>
    <xf numFmtId="0" fontId="35" fillId="51" borderId="1" xfId="25" applyFont="1" applyBorder="1" applyAlignment="1">
      <alignment horizontal="center" vertical="center" wrapText="1"/>
    </xf>
    <xf numFmtId="0" fontId="35" fillId="51" borderId="2" xfId="25" applyFont="1" applyBorder="1" applyAlignment="1">
      <alignment horizontal="center" vertical="center" wrapText="1"/>
    </xf>
    <xf numFmtId="0" fontId="35" fillId="51" borderId="6" xfId="25" applyFont="1" applyBorder="1" applyAlignment="1">
      <alignment horizontal="center" vertical="center" wrapText="1"/>
    </xf>
    <xf numFmtId="0" fontId="35" fillId="51" borderId="4" xfId="25" applyFont="1" applyBorder="1" applyAlignment="1">
      <alignment horizontal="center" vertical="center" wrapText="1"/>
    </xf>
    <xf numFmtId="0" fontId="35" fillId="51" borderId="5" xfId="25" applyFont="1" applyBorder="1" applyAlignment="1">
      <alignment horizontal="center" vertical="center" wrapText="1"/>
    </xf>
    <xf numFmtId="0" fontId="35" fillId="51" borderId="8" xfId="25" applyFont="1" applyBorder="1" applyAlignment="1">
      <alignment horizontal="center" vertical="center" wrapText="1"/>
    </xf>
    <xf numFmtId="0" fontId="23" fillId="35" borderId="1" xfId="14" applyFont="1" applyFill="1" applyBorder="1" applyAlignment="1">
      <alignment horizontal="center" vertical="center"/>
    </xf>
    <xf numFmtId="0" fontId="23" fillId="35" borderId="2" xfId="14" applyFont="1" applyFill="1" applyBorder="1" applyAlignment="1">
      <alignment horizontal="center" vertical="center"/>
    </xf>
    <xf numFmtId="0" fontId="23" fillId="35" borderId="6" xfId="14" applyFont="1" applyFill="1" applyBorder="1" applyAlignment="1">
      <alignment horizontal="center" vertical="center"/>
    </xf>
    <xf numFmtId="0" fontId="10" fillId="24" borderId="59" xfId="14" applyFont="1" applyBorder="1" applyAlignment="1">
      <alignment horizontal="center" vertical="center"/>
    </xf>
    <xf numFmtId="0" fontId="2" fillId="18" borderId="34" xfId="0" applyFont="1" applyFill="1" applyBorder="1" applyAlignment="1">
      <alignment horizontal="center" vertical="center"/>
    </xf>
    <xf numFmtId="0" fontId="2" fillId="18" borderId="35" xfId="0" applyFont="1" applyFill="1" applyBorder="1" applyAlignment="1">
      <alignment horizontal="center" vertical="center"/>
    </xf>
    <xf numFmtId="0" fontId="6" fillId="10" borderId="9" xfId="11" applyFont="1" applyBorder="1" applyAlignment="1">
      <alignment horizontal="center" vertical="center"/>
    </xf>
    <xf numFmtId="0" fontId="6" fillId="10" borderId="10" xfId="11" applyFont="1" applyBorder="1" applyAlignment="1">
      <alignment horizontal="center" vertical="center"/>
    </xf>
    <xf numFmtId="0" fontId="6" fillId="10" borderId="11" xfId="11" applyFont="1" applyBorder="1" applyAlignment="1">
      <alignment horizontal="center" vertical="center"/>
    </xf>
    <xf numFmtId="0" fontId="0" fillId="18" borderId="24" xfId="0" applyFill="1" applyBorder="1" applyAlignment="1">
      <alignment horizontal="left" vertical="center"/>
    </xf>
    <xf numFmtId="0" fontId="0" fillId="18" borderId="26" xfId="0" applyFill="1" applyBorder="1" applyAlignment="1">
      <alignment horizontal="left" vertical="center"/>
    </xf>
    <xf numFmtId="0" fontId="0" fillId="18" borderId="73" xfId="0" applyFill="1" applyBorder="1" applyAlignment="1">
      <alignment horizontal="left" vertical="center"/>
    </xf>
    <xf numFmtId="0" fontId="0" fillId="18" borderId="74" xfId="0" applyFill="1" applyBorder="1" applyAlignment="1">
      <alignment horizontal="left" vertical="center"/>
    </xf>
    <xf numFmtId="0" fontId="2" fillId="18" borderId="13" xfId="0" applyFont="1" applyFill="1" applyBorder="1" applyAlignment="1">
      <alignment horizontal="center" vertical="center"/>
    </xf>
    <xf numFmtId="0" fontId="2" fillId="18" borderId="14" xfId="0" applyFont="1" applyFill="1" applyBorder="1" applyAlignment="1">
      <alignment horizontal="center" vertical="center"/>
    </xf>
    <xf numFmtId="0" fontId="39" fillId="47" borderId="98" xfId="23" applyFont="1" applyAlignment="1">
      <alignment horizontal="center" vertical="center" wrapText="1"/>
    </xf>
    <xf numFmtId="0" fontId="48" fillId="28" borderId="0" xfId="3" applyFont="1" applyFill="1" applyAlignment="1">
      <alignment horizontal="right" vertical="center" wrapText="1"/>
    </xf>
    <xf numFmtId="0" fontId="6" fillId="4" borderId="9" xfId="5" applyFont="1" applyBorder="1" applyAlignment="1">
      <alignment horizontal="center" vertical="center"/>
    </xf>
    <xf numFmtId="0" fontId="6" fillId="4" borderId="10" xfId="5" applyFont="1" applyBorder="1" applyAlignment="1">
      <alignment horizontal="center" vertical="center"/>
    </xf>
    <xf numFmtId="0" fontId="6" fillId="4" borderId="11" xfId="5" applyFont="1" applyBorder="1" applyAlignment="1">
      <alignment horizontal="center" vertical="center"/>
    </xf>
    <xf numFmtId="0" fontId="6" fillId="19" borderId="1" xfId="17" applyFont="1" applyFill="1" applyBorder="1" applyAlignment="1">
      <alignment horizontal="center" vertical="center"/>
    </xf>
    <xf numFmtId="0" fontId="6" fillId="19" borderId="2" xfId="17" applyFont="1" applyFill="1" applyBorder="1" applyAlignment="1">
      <alignment horizontal="center" vertical="center"/>
    </xf>
    <xf numFmtId="0" fontId="6" fillId="19" borderId="6" xfId="17" applyFont="1" applyFill="1" applyBorder="1" applyAlignment="1">
      <alignment horizontal="center" vertical="center"/>
    </xf>
    <xf numFmtId="0" fontId="6" fillId="4" borderId="0" xfId="5" applyFont="1" applyAlignment="1">
      <alignment horizontal="center" vertical="center"/>
    </xf>
    <xf numFmtId="0" fontId="6" fillId="30" borderId="0" xfId="17" applyFont="1" applyAlignment="1">
      <alignment horizontal="center" vertical="center"/>
    </xf>
    <xf numFmtId="0" fontId="6" fillId="30" borderId="1" xfId="17" applyFont="1" applyBorder="1" applyAlignment="1">
      <alignment horizontal="center" vertical="center"/>
    </xf>
    <xf numFmtId="0" fontId="6" fillId="30" borderId="2" xfId="17" applyFont="1" applyBorder="1" applyAlignment="1">
      <alignment horizontal="center" vertical="center"/>
    </xf>
    <xf numFmtId="0" fontId="6" fillId="30" borderId="6" xfId="17" applyFont="1" applyBorder="1" applyAlignment="1">
      <alignment horizontal="center" vertical="center"/>
    </xf>
    <xf numFmtId="0" fontId="6" fillId="37" borderId="1" xfId="17" applyFont="1" applyFill="1" applyBorder="1" applyAlignment="1">
      <alignment horizontal="center" vertical="center"/>
    </xf>
    <xf numFmtId="0" fontId="6" fillId="37" borderId="2" xfId="17" applyFont="1" applyFill="1" applyBorder="1" applyAlignment="1">
      <alignment horizontal="center" vertical="center"/>
    </xf>
    <xf numFmtId="0" fontId="6" fillId="37" borderId="6" xfId="17" applyFont="1" applyFill="1" applyBorder="1" applyAlignment="1">
      <alignment horizontal="center" vertical="center"/>
    </xf>
    <xf numFmtId="0" fontId="74" fillId="0" borderId="0" xfId="0" applyFont="1" applyAlignment="1" applyProtection="1">
      <alignment horizontal="left" vertical="center" wrapText="1"/>
      <protection locked="0"/>
    </xf>
    <xf numFmtId="0" fontId="36" fillId="36" borderId="29" xfId="14" applyFont="1" applyFill="1" applyBorder="1" applyAlignment="1">
      <alignment horizontal="center" vertical="center"/>
    </xf>
    <xf numFmtId="0" fontId="6" fillId="24" borderId="2" xfId="14" applyFont="1" applyBorder="1" applyAlignment="1">
      <alignment horizontal="center" vertical="center"/>
    </xf>
    <xf numFmtId="0" fontId="6" fillId="24" borderId="70" xfId="14" applyFont="1" applyBorder="1" applyAlignment="1">
      <alignment horizontal="center" vertical="center"/>
    </xf>
    <xf numFmtId="164" fontId="6" fillId="24" borderId="68" xfId="14" applyNumberFormat="1" applyFont="1" applyBorder="1" applyAlignment="1">
      <alignment horizontal="center" vertical="center"/>
    </xf>
    <xf numFmtId="166" fontId="6" fillId="24" borderId="68" xfId="14" applyNumberFormat="1" applyFont="1" applyBorder="1" applyAlignment="1">
      <alignment horizontal="center" vertical="center"/>
    </xf>
    <xf numFmtId="166" fontId="6" fillId="24" borderId="2" xfId="14" applyNumberFormat="1" applyFont="1" applyBorder="1" applyAlignment="1">
      <alignment horizontal="center" vertical="center"/>
    </xf>
    <xf numFmtId="166" fontId="6" fillId="24" borderId="70" xfId="14" applyNumberFormat="1" applyFont="1" applyBorder="1" applyAlignment="1">
      <alignment horizontal="center" vertical="center"/>
    </xf>
    <xf numFmtId="9" fontId="6" fillId="2" borderId="1" xfId="3" applyNumberFormat="1" applyFont="1" applyBorder="1" applyAlignment="1">
      <alignment horizontal="center" vertical="center" wrapText="1"/>
    </xf>
    <xf numFmtId="9" fontId="6" fillId="2" borderId="2" xfId="3" applyNumberFormat="1" applyFont="1" applyBorder="1" applyAlignment="1">
      <alignment horizontal="center" vertical="center" wrapText="1"/>
    </xf>
    <xf numFmtId="9" fontId="6" fillId="2" borderId="6" xfId="3" applyNumberFormat="1" applyFont="1" applyBorder="1" applyAlignment="1">
      <alignment horizontal="center" vertical="center" wrapText="1"/>
    </xf>
    <xf numFmtId="0" fontId="6" fillId="32" borderId="9" xfId="5" applyFont="1" applyFill="1" applyBorder="1" applyAlignment="1">
      <alignment horizontal="center" vertical="center"/>
    </xf>
    <xf numFmtId="0" fontId="6" fillId="32" borderId="10" xfId="5" applyFont="1" applyFill="1" applyBorder="1" applyAlignment="1">
      <alignment horizontal="center" vertical="center"/>
    </xf>
    <xf numFmtId="0" fontId="6" fillId="32" borderId="11" xfId="5" applyFont="1" applyFill="1" applyBorder="1" applyAlignment="1">
      <alignment horizontal="center" vertical="center"/>
    </xf>
    <xf numFmtId="0" fontId="37" fillId="24" borderId="1" xfId="14" applyFont="1" applyBorder="1" applyAlignment="1">
      <alignment horizontal="center" vertical="center" wrapText="1"/>
    </xf>
    <xf numFmtId="0" fontId="37" fillId="24" borderId="2" xfId="14" applyFont="1" applyBorder="1" applyAlignment="1">
      <alignment horizontal="center" vertical="center" wrapText="1"/>
    </xf>
    <xf numFmtId="0" fontId="37" fillId="24" borderId="6" xfId="14" applyFont="1" applyBorder="1" applyAlignment="1">
      <alignment horizontal="center" vertical="center" wrapText="1"/>
    </xf>
    <xf numFmtId="0" fontId="37" fillId="24" borderId="3" xfId="14" applyFont="1" applyBorder="1" applyAlignment="1">
      <alignment horizontal="center" vertical="center" wrapText="1"/>
    </xf>
    <xf numFmtId="0" fontId="37" fillId="24" borderId="0" xfId="14" applyFont="1" applyBorder="1" applyAlignment="1">
      <alignment horizontal="center" vertical="center" wrapText="1"/>
    </xf>
    <xf numFmtId="0" fontId="37" fillId="24" borderId="7" xfId="14" applyFont="1" applyBorder="1" applyAlignment="1">
      <alignment horizontal="center" vertical="center" wrapText="1"/>
    </xf>
    <xf numFmtId="0" fontId="6" fillId="37" borderId="9" xfId="5" applyFont="1" applyFill="1" applyBorder="1" applyAlignment="1">
      <alignment horizontal="center" vertical="center"/>
    </xf>
    <xf numFmtId="0" fontId="6" fillId="37" borderId="10" xfId="5" applyFont="1" applyFill="1" applyBorder="1" applyAlignment="1">
      <alignment horizontal="center" vertical="center"/>
    </xf>
    <xf numFmtId="0" fontId="6" fillId="37" borderId="11" xfId="5" applyFont="1" applyFill="1" applyBorder="1" applyAlignment="1">
      <alignment horizontal="center" vertical="center"/>
    </xf>
    <xf numFmtId="0" fontId="6" fillId="4" borderId="3" xfId="5" applyFont="1" applyBorder="1" applyAlignment="1">
      <alignment horizontal="center" vertical="center"/>
    </xf>
    <xf numFmtId="0" fontId="6" fillId="4" borderId="0" xfId="5" applyFont="1" applyBorder="1" applyAlignment="1">
      <alignment horizontal="center" vertical="center"/>
    </xf>
    <xf numFmtId="0" fontId="6" fillId="4" borderId="7" xfId="5" applyFont="1" applyBorder="1" applyAlignment="1">
      <alignment horizontal="center" vertical="center"/>
    </xf>
    <xf numFmtId="0" fontId="6" fillId="4" borderId="1" xfId="5" applyFont="1" applyBorder="1" applyAlignment="1">
      <alignment horizontal="center" vertical="center"/>
    </xf>
    <xf numFmtId="0" fontId="6" fillId="4" borderId="2" xfId="5" applyFont="1" applyBorder="1" applyAlignment="1">
      <alignment horizontal="center" vertical="center"/>
    </xf>
    <xf numFmtId="0" fontId="6" fillId="4" borderId="6" xfId="5" applyFont="1" applyBorder="1" applyAlignment="1">
      <alignment horizontal="center" vertical="center"/>
    </xf>
    <xf numFmtId="0" fontId="6" fillId="10" borderId="1" xfId="11" applyFont="1" applyBorder="1" applyAlignment="1">
      <alignment horizontal="center" vertical="center"/>
    </xf>
    <xf numFmtId="0" fontId="6" fillId="10" borderId="2" xfId="11" applyFont="1" applyBorder="1" applyAlignment="1">
      <alignment horizontal="center" vertical="center"/>
    </xf>
    <xf numFmtId="0" fontId="6" fillId="10" borderId="6" xfId="11" applyFont="1" applyBorder="1" applyAlignment="1">
      <alignment horizontal="center" vertical="center"/>
    </xf>
    <xf numFmtId="0" fontId="8" fillId="9" borderId="90" xfId="0" applyFont="1" applyFill="1" applyBorder="1" applyAlignment="1">
      <alignment horizontal="center" vertical="center"/>
    </xf>
    <xf numFmtId="0" fontId="8" fillId="9" borderId="91" xfId="0" applyFont="1" applyFill="1" applyBorder="1" applyAlignment="1">
      <alignment horizontal="center" vertical="center"/>
    </xf>
    <xf numFmtId="0" fontId="8" fillId="9" borderId="92" xfId="0" applyFont="1" applyFill="1" applyBorder="1" applyAlignment="1">
      <alignment horizontal="center" vertical="center"/>
    </xf>
    <xf numFmtId="0" fontId="6" fillId="30" borderId="3" xfId="17" applyFont="1" applyBorder="1" applyAlignment="1">
      <alignment horizontal="center" vertical="center"/>
    </xf>
    <xf numFmtId="0" fontId="6" fillId="30" borderId="0" xfId="17" applyFont="1" applyBorder="1" applyAlignment="1">
      <alignment horizontal="center" vertical="center"/>
    </xf>
    <xf numFmtId="0" fontId="6" fillId="30" borderId="7" xfId="17" applyFont="1" applyBorder="1" applyAlignment="1">
      <alignment horizontal="center" vertical="center"/>
    </xf>
    <xf numFmtId="0" fontId="6" fillId="19" borderId="9" xfId="5" applyFont="1" applyFill="1" applyBorder="1" applyAlignment="1">
      <alignment horizontal="center" vertical="center"/>
    </xf>
    <xf numFmtId="0" fontId="6" fillId="19" borderId="10" xfId="5" applyFont="1" applyFill="1" applyBorder="1" applyAlignment="1">
      <alignment horizontal="center" vertical="center"/>
    </xf>
    <xf numFmtId="0" fontId="6" fillId="19" borderId="11" xfId="5" applyFont="1" applyFill="1" applyBorder="1" applyAlignment="1">
      <alignment horizontal="center" vertical="center"/>
    </xf>
    <xf numFmtId="0" fontId="6" fillId="2" borderId="1" xfId="3" applyFont="1" applyBorder="1" applyAlignment="1">
      <alignment horizontal="center" vertical="center" wrapText="1"/>
    </xf>
    <xf numFmtId="0" fontId="6" fillId="2" borderId="2" xfId="3" applyFont="1" applyBorder="1" applyAlignment="1">
      <alignment horizontal="center" vertical="center" wrapText="1"/>
    </xf>
    <xf numFmtId="0" fontId="6" fillId="2" borderId="6" xfId="3" applyFont="1" applyBorder="1" applyAlignment="1">
      <alignment horizontal="center" vertical="center" wrapText="1"/>
    </xf>
    <xf numFmtId="3" fontId="56" fillId="48" borderId="110" xfId="24" applyNumberFormat="1" applyFont="1" applyBorder="1" applyAlignment="1">
      <alignment horizontal="center" vertical="center" wrapText="1"/>
    </xf>
    <xf numFmtId="3" fontId="56" fillId="48" borderId="111" xfId="24" applyNumberFormat="1" applyFont="1" applyBorder="1" applyAlignment="1">
      <alignment horizontal="center" vertical="center" wrapText="1"/>
    </xf>
    <xf numFmtId="3" fontId="56" fillId="48" borderId="112" xfId="24" applyNumberFormat="1" applyFont="1" applyBorder="1" applyAlignment="1">
      <alignment horizontal="center" vertical="center" wrapText="1"/>
    </xf>
    <xf numFmtId="0" fontId="1" fillId="51" borderId="2" xfId="25" applyBorder="1" applyAlignment="1">
      <alignment horizontal="left" vertical="center" wrapText="1"/>
    </xf>
    <xf numFmtId="0" fontId="53" fillId="51" borderId="2" xfId="25" applyFont="1" applyBorder="1" applyAlignment="1">
      <alignment horizontal="center" vertical="center" wrapText="1"/>
    </xf>
    <xf numFmtId="0" fontId="53" fillId="51" borderId="0" xfId="25" applyFont="1" applyAlignment="1">
      <alignment horizontal="center" vertical="center" wrapText="1"/>
    </xf>
    <xf numFmtId="0" fontId="35" fillId="51" borderId="0" xfId="25" applyFont="1" applyAlignment="1">
      <alignment horizontal="center" wrapText="1"/>
    </xf>
    <xf numFmtId="0" fontId="35" fillId="51" borderId="0" xfId="25" applyFont="1" applyAlignment="1">
      <alignment horizontal="center" vertical="center" wrapText="1"/>
    </xf>
    <xf numFmtId="0" fontId="6" fillId="10" borderId="1" xfId="11" applyFont="1" applyBorder="1" applyAlignment="1">
      <alignment horizontal="center" vertical="center" wrapText="1"/>
    </xf>
    <xf numFmtId="0" fontId="6" fillId="10" borderId="2" xfId="11" applyFont="1" applyBorder="1" applyAlignment="1">
      <alignment horizontal="center" vertical="center" wrapText="1"/>
    </xf>
    <xf numFmtId="0" fontId="6" fillId="10" borderId="6" xfId="11" applyFont="1" applyBorder="1" applyAlignment="1">
      <alignment horizontal="center" vertical="center" wrapText="1"/>
    </xf>
    <xf numFmtId="0" fontId="0" fillId="0" borderId="1" xfId="0" applyFont="1" applyBorder="1" applyAlignment="1">
      <alignment horizontal="center" vertical="center"/>
    </xf>
    <xf numFmtId="0" fontId="0" fillId="0" borderId="6" xfId="0" applyFont="1" applyBorder="1" applyAlignment="1">
      <alignment horizontal="center" vertical="center"/>
    </xf>
    <xf numFmtId="10" fontId="6" fillId="2" borderId="1" xfId="3" applyNumberFormat="1" applyFont="1" applyBorder="1" applyAlignment="1">
      <alignment horizontal="center" vertical="center" wrapText="1"/>
    </xf>
    <xf numFmtId="10" fontId="6" fillId="2" borderId="2" xfId="3" applyNumberFormat="1" applyFont="1" applyBorder="1" applyAlignment="1">
      <alignment horizontal="center" vertical="center" wrapText="1"/>
    </xf>
    <xf numFmtId="10" fontId="6" fillId="2" borderId="6" xfId="3" applyNumberFormat="1" applyFont="1" applyBorder="1" applyAlignment="1">
      <alignment horizontal="center" vertical="center" wrapText="1"/>
    </xf>
    <xf numFmtId="0" fontId="6" fillId="2" borderId="1" xfId="3" applyFont="1" applyBorder="1" applyAlignment="1">
      <alignment horizontal="center" vertical="center"/>
    </xf>
    <xf numFmtId="0" fontId="6" fillId="2" borderId="2" xfId="3" applyFont="1" applyBorder="1" applyAlignment="1">
      <alignment horizontal="center" vertical="center"/>
    </xf>
    <xf numFmtId="0" fontId="6" fillId="2" borderId="6" xfId="3" applyFont="1" applyBorder="1" applyAlignment="1">
      <alignment horizontal="center" vertical="center"/>
    </xf>
    <xf numFmtId="0" fontId="75" fillId="0" borderId="0" xfId="13" applyFont="1" applyAlignment="1">
      <alignment horizontal="center"/>
    </xf>
    <xf numFmtId="0" fontId="6" fillId="2" borderId="20" xfId="3" applyFont="1" applyBorder="1" applyAlignment="1">
      <alignment horizontal="right"/>
    </xf>
    <xf numFmtId="0" fontId="6" fillId="2" borderId="16" xfId="3" applyFont="1" applyBorder="1" applyAlignment="1">
      <alignment horizontal="right"/>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3"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5" xfId="0" applyFont="1" applyBorder="1" applyAlignment="1">
      <alignment horizontal="center" vertical="center" wrapText="1"/>
    </xf>
    <xf numFmtId="0" fontId="55" fillId="0" borderId="8" xfId="0" applyFont="1" applyBorder="1" applyAlignment="1">
      <alignment horizontal="center" vertical="center" wrapText="1"/>
    </xf>
    <xf numFmtId="0" fontId="34" fillId="0" borderId="12" xfId="0" quotePrefix="1" applyFont="1" applyBorder="1" applyAlignment="1" applyProtection="1">
      <alignment horizontal="center"/>
      <protection locked="0"/>
    </xf>
    <xf numFmtId="0" fontId="35" fillId="0" borderId="12" xfId="0" applyFont="1" applyBorder="1" applyAlignment="1" applyProtection="1">
      <alignment horizontal="center"/>
      <protection locked="0"/>
    </xf>
    <xf numFmtId="0" fontId="35" fillId="0" borderId="15" xfId="0" applyFont="1" applyBorder="1" applyAlignment="1" applyProtection="1">
      <alignment horizontal="center"/>
      <protection locked="0"/>
    </xf>
    <xf numFmtId="0" fontId="34" fillId="0" borderId="24" xfId="0" quotePrefix="1" applyFont="1" applyBorder="1" applyAlignment="1" applyProtection="1">
      <alignment horizontal="center"/>
      <protection locked="0"/>
    </xf>
    <xf numFmtId="0" fontId="34" fillId="0" borderId="25" xfId="0" quotePrefix="1" applyFont="1" applyBorder="1" applyAlignment="1" applyProtection="1">
      <alignment horizontal="center"/>
      <protection locked="0"/>
    </xf>
    <xf numFmtId="0" fontId="34" fillId="0" borderId="26" xfId="0" quotePrefix="1" applyFont="1" applyBorder="1" applyAlignment="1" applyProtection="1">
      <alignment horizontal="center"/>
      <protection locked="0"/>
    </xf>
    <xf numFmtId="0" fontId="6" fillId="2" borderId="22" xfId="3" applyFont="1" applyBorder="1" applyAlignment="1">
      <alignment horizontal="center"/>
    </xf>
    <xf numFmtId="0" fontId="6" fillId="2" borderId="21" xfId="3" applyFont="1" applyBorder="1" applyAlignment="1">
      <alignment horizontal="center"/>
    </xf>
    <xf numFmtId="0" fontId="6" fillId="2" borderId="23" xfId="3" applyFont="1" applyBorder="1" applyAlignment="1">
      <alignment horizontal="center"/>
    </xf>
    <xf numFmtId="0" fontId="10" fillId="41" borderId="0" xfId="11" applyFont="1" applyFill="1" applyBorder="1" applyAlignment="1">
      <alignment horizontal="right" vertical="center"/>
    </xf>
    <xf numFmtId="9" fontId="14" fillId="23" borderId="12" xfId="2" applyFont="1" applyFill="1" applyBorder="1" applyAlignment="1" applyProtection="1">
      <alignment horizontal="center" vertical="center"/>
    </xf>
    <xf numFmtId="0" fontId="6" fillId="28" borderId="9" xfId="5" applyFont="1" applyFill="1" applyBorder="1" applyAlignment="1">
      <alignment horizontal="right"/>
    </xf>
    <xf numFmtId="0" fontId="6" fillId="28" borderId="10" xfId="5" applyFont="1" applyFill="1" applyBorder="1" applyAlignment="1">
      <alignment horizontal="right"/>
    </xf>
    <xf numFmtId="0" fontId="9" fillId="29" borderId="13" xfId="6" applyFont="1" applyFill="1" applyBorder="1" applyAlignment="1">
      <alignment horizontal="center"/>
    </xf>
    <xf numFmtId="0" fontId="9" fillId="29" borderId="14" xfId="6" applyFont="1" applyFill="1" applyBorder="1" applyAlignment="1">
      <alignment horizontal="center"/>
    </xf>
    <xf numFmtId="0" fontId="25"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1" fillId="51" borderId="5" xfId="25" applyBorder="1" applyAlignment="1">
      <alignment horizontal="left" vertical="center" wrapText="1"/>
    </xf>
    <xf numFmtId="0" fontId="2" fillId="0" borderId="99" xfId="0" applyFont="1" applyBorder="1" applyAlignment="1">
      <alignment horizontal="center" vertical="center" wrapText="1"/>
    </xf>
    <xf numFmtId="0" fontId="2" fillId="0" borderId="100" xfId="0" applyFont="1" applyBorder="1" applyAlignment="1">
      <alignment horizontal="center" vertical="center" wrapText="1"/>
    </xf>
    <xf numFmtId="0" fontId="35" fillId="0" borderId="24" xfId="0" applyFont="1" applyBorder="1" applyAlignment="1" applyProtection="1">
      <alignment horizontal="center"/>
      <protection locked="0"/>
    </xf>
    <xf numFmtId="0" fontId="35" fillId="0" borderId="26" xfId="0" applyFont="1" applyBorder="1" applyAlignment="1" applyProtection="1">
      <alignment horizontal="center"/>
      <protection locked="0"/>
    </xf>
    <xf numFmtId="0" fontId="5" fillId="29" borderId="116" xfId="4" applyFont="1" applyFill="1" applyBorder="1" applyAlignment="1">
      <alignment horizontal="left" vertical="center"/>
    </xf>
    <xf numFmtId="0" fontId="5" fillId="29" borderId="25" xfId="4" applyFont="1" applyFill="1" applyBorder="1" applyAlignment="1">
      <alignment horizontal="left" vertical="center"/>
    </xf>
    <xf numFmtId="0" fontId="5" fillId="29" borderId="26" xfId="4" applyFont="1" applyFill="1" applyBorder="1" applyAlignment="1">
      <alignment horizontal="left" vertical="center"/>
    </xf>
    <xf numFmtId="0" fontId="25" fillId="52" borderId="18" xfId="0" applyFont="1" applyFill="1" applyBorder="1" applyAlignment="1">
      <alignment horizontal="left" vertical="center" wrapText="1"/>
    </xf>
    <xf numFmtId="0" fontId="25" fillId="52" borderId="19" xfId="0" applyFont="1" applyFill="1" applyBorder="1" applyAlignment="1">
      <alignment horizontal="left" vertical="center" wrapText="1"/>
    </xf>
    <xf numFmtId="9" fontId="25" fillId="52" borderId="99" xfId="2" applyFont="1" applyFill="1" applyBorder="1" applyAlignment="1" applyProtection="1">
      <alignment horizontal="center"/>
    </xf>
    <xf numFmtId="9" fontId="25" fillId="52" borderId="114" xfId="2" applyFont="1" applyFill="1" applyBorder="1" applyAlignment="1" applyProtection="1">
      <alignment horizontal="center"/>
    </xf>
    <xf numFmtId="9" fontId="25" fillId="52" borderId="100" xfId="2" applyFont="1" applyFill="1" applyBorder="1" applyAlignment="1" applyProtection="1">
      <alignment horizontal="center"/>
    </xf>
    <xf numFmtId="0" fontId="78" fillId="17" borderId="9" xfId="0" applyFont="1" applyFill="1" applyBorder="1" applyAlignment="1">
      <alignment horizontal="center" vertical="center" wrapText="1"/>
    </xf>
    <xf numFmtId="0" fontId="78" fillId="17" borderId="10" xfId="0" applyFont="1" applyFill="1" applyBorder="1" applyAlignment="1">
      <alignment horizontal="center" vertical="center" wrapText="1"/>
    </xf>
    <xf numFmtId="0" fontId="78" fillId="17" borderId="11" xfId="0" applyFont="1" applyFill="1" applyBorder="1" applyAlignment="1">
      <alignment horizontal="center" vertical="center" wrapText="1"/>
    </xf>
    <xf numFmtId="0" fontId="2" fillId="0" borderId="117" xfId="0" applyFont="1" applyBorder="1" applyAlignment="1">
      <alignment horizontal="center" vertical="center" wrapText="1"/>
    </xf>
    <xf numFmtId="0" fontId="2" fillId="0" borderId="67" xfId="0" applyFont="1" applyBorder="1" applyAlignment="1">
      <alignment horizontal="center" vertical="center" wrapText="1"/>
    </xf>
    <xf numFmtId="0" fontId="25" fillId="34" borderId="18" xfId="0" applyFont="1" applyFill="1" applyBorder="1" applyAlignment="1">
      <alignment horizontal="left" vertical="center" wrapText="1"/>
    </xf>
    <xf numFmtId="0" fontId="25" fillId="34" borderId="19" xfId="0" applyFont="1" applyFill="1" applyBorder="1" applyAlignment="1">
      <alignment horizontal="left" vertical="center" wrapText="1"/>
    </xf>
    <xf numFmtId="9" fontId="25" fillId="34" borderId="13" xfId="2" applyFont="1" applyFill="1" applyBorder="1" applyAlignment="1" applyProtection="1">
      <alignment horizontal="center" vertical="center"/>
    </xf>
    <xf numFmtId="9" fontId="25" fillId="34" borderId="14" xfId="2" applyFont="1" applyFill="1" applyBorder="1" applyAlignment="1" applyProtection="1">
      <alignment horizontal="center" vertical="center"/>
    </xf>
    <xf numFmtId="0" fontId="5" fillId="29" borderId="19" xfId="4" applyFont="1" applyFill="1" applyBorder="1" applyAlignment="1">
      <alignment horizontal="left" vertical="center"/>
    </xf>
    <xf numFmtId="0" fontId="5" fillId="29" borderId="12" xfId="4" applyFont="1" applyFill="1" applyBorder="1" applyAlignment="1">
      <alignment horizontal="left" vertical="center"/>
    </xf>
    <xf numFmtId="0" fontId="5" fillId="29" borderId="15" xfId="4" applyFont="1" applyFill="1" applyBorder="1" applyAlignment="1">
      <alignment horizontal="left" vertical="center"/>
    </xf>
    <xf numFmtId="0" fontId="25" fillId="53" borderId="113" xfId="0" applyFont="1" applyFill="1" applyBorder="1" applyAlignment="1">
      <alignment horizontal="left" vertical="center" wrapText="1"/>
    </xf>
    <xf numFmtId="0" fontId="25" fillId="53" borderId="115" xfId="0" applyFont="1" applyFill="1" applyBorder="1" applyAlignment="1">
      <alignment horizontal="left" vertical="center" wrapText="1"/>
    </xf>
    <xf numFmtId="9" fontId="25" fillId="53" borderId="99" xfId="2" applyFont="1" applyFill="1" applyBorder="1" applyAlignment="1" applyProtection="1">
      <alignment horizontal="center" vertical="center"/>
    </xf>
    <xf numFmtId="9" fontId="25" fillId="53" borderId="114" xfId="2" applyFont="1" applyFill="1" applyBorder="1" applyAlignment="1" applyProtection="1">
      <alignment horizontal="center" vertical="center"/>
    </xf>
    <xf numFmtId="9" fontId="25" fillId="53" borderId="100" xfId="2" applyFont="1" applyFill="1" applyBorder="1" applyAlignment="1" applyProtection="1">
      <alignment horizontal="center" vertical="center"/>
    </xf>
    <xf numFmtId="0" fontId="78" fillId="50" borderId="9" xfId="0" applyFont="1" applyFill="1" applyBorder="1" applyAlignment="1">
      <alignment horizontal="center" vertical="center" wrapText="1"/>
    </xf>
    <xf numFmtId="0" fontId="78" fillId="50" borderId="10" xfId="0" applyFont="1" applyFill="1" applyBorder="1" applyAlignment="1">
      <alignment horizontal="center" vertical="center" wrapText="1"/>
    </xf>
    <xf numFmtId="0" fontId="78" fillId="50" borderId="11" xfId="0" applyFont="1" applyFill="1" applyBorder="1" applyAlignment="1">
      <alignment horizontal="center" vertical="center" wrapText="1"/>
    </xf>
    <xf numFmtId="0" fontId="78" fillId="31" borderId="9" xfId="0" applyFont="1" applyFill="1" applyBorder="1" applyAlignment="1">
      <alignment horizontal="center" vertical="center" wrapText="1"/>
    </xf>
    <xf numFmtId="0" fontId="78" fillId="31" borderId="10" xfId="0" applyFont="1" applyFill="1" applyBorder="1" applyAlignment="1">
      <alignment horizontal="center" vertical="center" wrapText="1"/>
    </xf>
    <xf numFmtId="0" fontId="78" fillId="31" borderId="11" xfId="0" applyFont="1" applyFill="1" applyBorder="1" applyAlignment="1">
      <alignment horizontal="center" vertical="center" wrapText="1"/>
    </xf>
    <xf numFmtId="0" fontId="4" fillId="0" borderId="0" xfId="0" applyFont="1" applyBorder="1" applyAlignment="1">
      <alignment horizontal="left" vertical="top" wrapText="1"/>
    </xf>
    <xf numFmtId="0" fontId="0" fillId="0" borderId="0" xfId="0" applyBorder="1" applyAlignment="1">
      <alignment horizontal="left" vertical="top" wrapText="1"/>
    </xf>
    <xf numFmtId="0" fontId="3" fillId="2" borderId="0" xfId="3" applyAlignment="1">
      <alignment horizontal="center" vertical="center"/>
    </xf>
  </cellXfs>
  <cellStyles count="26">
    <cellStyle name="20% - Accent1" xfId="4" builtinId="30"/>
    <cellStyle name="20% - Accent2" xfId="21" builtinId="34"/>
    <cellStyle name="20% - Accent3" xfId="6" builtinId="38"/>
    <cellStyle name="20% - Accent4" xfId="8" builtinId="42"/>
    <cellStyle name="20% - Accent6" xfId="12" builtinId="50"/>
    <cellStyle name="40% - Accent1" xfId="15" builtinId="31"/>
    <cellStyle name="40% - Accent3" xfId="7" builtinId="39"/>
    <cellStyle name="40% - Accent5" xfId="22" builtinId="47"/>
    <cellStyle name="40% - Accent6" xfId="25" builtinId="51"/>
    <cellStyle name="60% - Accent1" xfId="16" builtinId="32"/>
    <cellStyle name="60% - Accent4" xfId="9" builtinId="44"/>
    <cellStyle name="60% - Accent5" xfId="19" builtinId="48"/>
    <cellStyle name="Accent1" xfId="3" builtinId="29"/>
    <cellStyle name="Accent2" xfId="5" builtinId="33"/>
    <cellStyle name="Accent3" xfId="11" builtinId="37"/>
    <cellStyle name="Accent5" xfId="14" builtinId="45"/>
    <cellStyle name="Accent6" xfId="17" builtinId="49"/>
    <cellStyle name="Calculation" xfId="24" builtinId="22"/>
    <cellStyle name="Comma" xfId="18" builtinId="3"/>
    <cellStyle name="Currency" xfId="1" builtinId="4"/>
    <cellStyle name="Explanatory Text" xfId="13" builtinId="53"/>
    <cellStyle name="Heading 4" xfId="20" builtinId="19"/>
    <cellStyle name="Hyperlink" xfId="10" builtinId="8"/>
    <cellStyle name="Normal" xfId="0" builtinId="0"/>
    <cellStyle name="Note" xfId="23" builtinId="10"/>
    <cellStyle name="Percent" xfId="2" builtinId="5"/>
  </cellStyles>
  <dxfs count="178">
    <dxf>
      <font>
        <b val="0"/>
        <i val="0"/>
        <strike val="0"/>
        <condense val="0"/>
        <extend val="0"/>
        <outline val="0"/>
        <shadow val="0"/>
        <u val="none"/>
        <vertAlign val="baseline"/>
        <sz val="11"/>
        <color auto="1"/>
        <name val="Calibri"/>
        <family val="2"/>
        <scheme val="none"/>
      </font>
      <numFmt numFmtId="167" formatCode="&quot;$&quot;#,##0"/>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numFmt numFmtId="167" formatCode="&quot;$&quot;#,##0"/>
      <fill>
        <patternFill patternType="solid">
          <fgColor indexed="64"/>
          <bgColor theme="8"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numFmt numFmtId="167" formatCode="&quot;$&quot;#,##0"/>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numFmt numFmtId="167" formatCode="&quot;$&quot;#,##0"/>
      <alignment horizontal="general"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numFmt numFmtId="2" formatCode="0.00"/>
      <alignment vertical="center" textRotation="0" indent="0" justifyLastLine="0" shrinkToFit="0" readingOrder="0"/>
      <border diagonalUp="0" diagonalDown="0" outline="0">
        <left/>
        <right style="thin">
          <color indexed="64"/>
        </right>
        <top style="thin">
          <color indexed="64"/>
        </top>
        <bottom style="thin">
          <color indexed="64"/>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none"/>
      </font>
      <alignment vertical="center" textRotation="0" indent="0" justifyLastLine="0" shrinkToFit="0" readingOrder="0"/>
    </dxf>
    <dxf>
      <border>
        <bottom style="medium">
          <color indexed="64"/>
        </bottom>
      </border>
    </dxf>
    <dxf>
      <alignment horizontal="center" vertical="center"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1"/>
        <color auto="1"/>
        <name val="Calibri"/>
        <family val="2"/>
        <scheme val="none"/>
      </font>
      <numFmt numFmtId="167" formatCode="&quot;$&quot;#,##0"/>
      <alignment vertical="center" textRotation="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numFmt numFmtId="167" formatCode="&quot;$&quot;#,##0"/>
      <fill>
        <patternFill patternType="solid">
          <fgColor indexed="64"/>
          <bgColor theme="8" tint="0.79998168889431442"/>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numFmt numFmtId="167" formatCode="&quot;$&quot;#,##0"/>
      <alignment vertical="center" textRotation="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numFmt numFmtId="167" formatCode="&quot;$&quot;#,##0"/>
      <alignment horizontal="general"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numFmt numFmtId="2" formatCode="0.00"/>
      <alignment vertical="center" textRotation="0" indent="0" justifyLastLine="0" shrinkToFit="0" readingOrder="0"/>
      <border diagonalUp="0" diagonalDown="0" outline="0">
        <left/>
        <right style="thin">
          <color indexed="64"/>
        </right>
        <top style="thin">
          <color indexed="64"/>
        </top>
        <bottom style="thin">
          <color indexed="64"/>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none"/>
      </font>
      <alignment vertical="center" textRotation="0" indent="0" justifyLastLine="0" shrinkToFit="0" readingOrder="0"/>
    </dxf>
    <dxf>
      <border>
        <bottom style="medium">
          <color indexed="64"/>
        </bottom>
      </border>
    </dxf>
    <dxf>
      <alignment horizontal="center" vertical="center" textRotation="0" wrapText="1" indent="0" justifyLastLine="0" shrinkToFit="0" readingOrder="0"/>
      <border diagonalUp="0" diagonalDown="0" outline="0">
        <left style="medium">
          <color indexed="64"/>
        </left>
        <right style="medium">
          <color indexed="64"/>
        </right>
        <top/>
        <bottom/>
      </border>
    </dxf>
    <dxf>
      <numFmt numFmtId="167" formatCode="&quot;$&quot;#,##0"/>
    </dxf>
    <dxf>
      <numFmt numFmtId="167" formatCode="&quot;$&quot;#,##0"/>
    </dxf>
    <dxf>
      <numFmt numFmtId="167" formatCode="&quot;$&quot;#,##0"/>
    </dxf>
    <dxf>
      <numFmt numFmtId="167" formatCode="&quot;$&quot;#,##0"/>
    </dxf>
    <dxf>
      <numFmt numFmtId="171" formatCode="0.000"/>
    </dxf>
    <dxf>
      <numFmt numFmtId="171" formatCode="0.000"/>
    </dxf>
    <dxf>
      <numFmt numFmtId="2" formatCode="0.00"/>
    </dxf>
    <dxf>
      <alignment horizontal="center" vertical="center" textRotation="0" wrapText="1" indent="0" justifyLastLine="0" shrinkToFit="0" readingOrder="0"/>
    </dxf>
    <dxf>
      <numFmt numFmtId="167" formatCode="&quot;$&quot;#,##0"/>
    </dxf>
    <dxf>
      <numFmt numFmtId="167" formatCode="&quot;$&quot;#,##0"/>
    </dxf>
    <dxf>
      <numFmt numFmtId="167" formatCode="&quot;$&quot;#,##0"/>
    </dxf>
    <dxf>
      <numFmt numFmtId="167" formatCode="&quot;$&quot;#,##0"/>
    </dxf>
    <dxf>
      <numFmt numFmtId="171" formatCode="0.000"/>
    </dxf>
    <dxf>
      <numFmt numFmtId="171" formatCode="0.000"/>
    </dxf>
    <dxf>
      <numFmt numFmtId="2" formatCode="0.00"/>
    </dxf>
    <dxf>
      <alignment horizontal="center" vertical="center" textRotation="0" wrapText="1" indent="0" justifyLastLine="0" shrinkToFit="0" readingOrder="0"/>
    </dxf>
    <dxf>
      <numFmt numFmtId="167" formatCode="&quot;$&quot;#,##0"/>
    </dxf>
    <dxf>
      <numFmt numFmtId="167" formatCode="&quot;$&quot;#,##0"/>
    </dxf>
    <dxf>
      <numFmt numFmtId="167" formatCode="&quot;$&quot;#,##0"/>
    </dxf>
    <dxf>
      <numFmt numFmtId="167" formatCode="&quot;$&quot;#,##0"/>
    </dxf>
    <dxf>
      <numFmt numFmtId="171" formatCode="0.000"/>
    </dxf>
    <dxf>
      <numFmt numFmtId="171" formatCode="0.000"/>
    </dxf>
    <dxf>
      <numFmt numFmtId="2" formatCode="0.00"/>
    </dxf>
    <dxf>
      <alignment horizontal="center" vertical="center" textRotation="0" wrapText="1" indent="0" justifyLastLine="0" shrinkToFit="0" readingOrder="0"/>
    </dxf>
    <dxf>
      <numFmt numFmtId="167" formatCode="&quot;$&quot;#,##0"/>
    </dxf>
    <dxf>
      <numFmt numFmtId="167" formatCode="&quot;$&quot;#,##0"/>
    </dxf>
    <dxf>
      <numFmt numFmtId="167" formatCode="&quot;$&quot;#,##0"/>
    </dxf>
    <dxf>
      <numFmt numFmtId="167" formatCode="&quot;$&quot;#,##0"/>
    </dxf>
    <dxf>
      <numFmt numFmtId="171" formatCode="0.000"/>
    </dxf>
    <dxf>
      <numFmt numFmtId="171" formatCode="0.000"/>
    </dxf>
    <dxf>
      <numFmt numFmtId="2" formatCode="0.00"/>
    </dxf>
    <dxf>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
      <alignment vertical="center" textRotation="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numFmt numFmtId="167" formatCode="&quot;$&quot;#,##0"/>
      <fill>
        <patternFill patternType="solid">
          <fgColor indexed="64"/>
          <bgColor theme="8" tint="0.79998168889431442"/>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numFmt numFmtId="167" formatCode="&quot;$&quot;#,##0"/>
      <alignment vertical="center" textRotation="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numFmt numFmtId="167" formatCode="&quot;$&quot;#,##0"/>
      <alignment horizontal="general"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numFmt numFmtId="2" formatCode="0.00"/>
      <alignment vertical="center" textRotation="0" indent="0" justifyLastLine="0" shrinkToFit="0" readingOrder="0"/>
      <border diagonalUp="0" diagonalDown="0" outline="0">
        <left/>
        <right style="thin">
          <color indexed="64"/>
        </right>
        <top style="thin">
          <color indexed="64"/>
        </top>
        <bottom style="thin">
          <color indexed="64"/>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none"/>
      </font>
      <alignment vertical="center" textRotation="0" indent="0" justifyLastLine="0" shrinkToFit="0" readingOrder="0"/>
    </dxf>
    <dxf>
      <border>
        <bottom style="medium">
          <color indexed="64"/>
        </bottom>
      </border>
    </dxf>
    <dxf>
      <alignment horizontal="center" vertical="center" textRotation="0" wrapText="1" indent="0" justifyLastLine="0" shrinkToFit="0" readingOrder="0"/>
      <border diagonalUp="0" diagonalDown="0" outline="0">
        <left style="medium">
          <color indexed="64"/>
        </left>
        <right style="medium">
          <color indexed="64"/>
        </right>
        <top/>
        <bottom/>
      </border>
    </dxf>
    <dxf>
      <numFmt numFmtId="167" formatCode="&quot;$&quot;#,##0"/>
    </dxf>
    <dxf>
      <numFmt numFmtId="167" formatCode="&quot;$&quot;#,##0"/>
    </dxf>
    <dxf>
      <numFmt numFmtId="167" formatCode="&quot;$&quot;#,##0"/>
    </dxf>
    <dxf>
      <numFmt numFmtId="167" formatCode="&quot;$&quot;#,##0"/>
    </dxf>
    <dxf>
      <numFmt numFmtId="171" formatCode="0.000"/>
    </dxf>
    <dxf>
      <numFmt numFmtId="171" formatCode="0.000"/>
    </dxf>
    <dxf>
      <numFmt numFmtId="2" formatCode="0.00"/>
    </dxf>
    <dxf>
      <alignment horizontal="center" vertical="center" textRotation="0" wrapText="1" indent="0" justifyLastLine="0" shrinkToFit="0" readingOrder="0"/>
    </dxf>
    <dxf>
      <numFmt numFmtId="167" formatCode="&quot;$&quot;#,##0"/>
    </dxf>
    <dxf>
      <numFmt numFmtId="167" formatCode="&quot;$&quot;#,##0"/>
    </dxf>
    <dxf>
      <numFmt numFmtId="167" formatCode="&quot;$&quot;#,##0"/>
    </dxf>
    <dxf>
      <numFmt numFmtId="167" formatCode="&quot;$&quot;#,##0"/>
    </dxf>
    <dxf>
      <numFmt numFmtId="171" formatCode="0.000"/>
    </dxf>
    <dxf>
      <numFmt numFmtId="171" formatCode="0.000"/>
    </dxf>
    <dxf>
      <numFmt numFmtId="2" formatCode="0.00"/>
    </dxf>
    <dxf>
      <alignment horizontal="center" vertical="center" textRotation="0" wrapText="1" indent="0" justifyLastLine="0" shrinkToFit="0" readingOrder="0"/>
    </dxf>
    <dxf>
      <font>
        <color theme="6" tint="0.59996337778862885"/>
      </font>
    </dxf>
    <dxf>
      <font>
        <b val="0"/>
        <i/>
        <strike/>
        <color theme="3"/>
      </font>
      <fill>
        <patternFill patternType="none">
          <bgColor auto="1"/>
        </patternFill>
      </fill>
    </dxf>
    <dxf>
      <font>
        <b/>
        <i val="0"/>
      </font>
      <fill>
        <patternFill>
          <bgColor theme="9" tint="0.59996337778862885"/>
        </patternFill>
      </fill>
    </dxf>
    <dxf>
      <font>
        <b/>
        <i val="0"/>
        <strike val="0"/>
        <condense val="0"/>
        <extend val="0"/>
        <outline val="0"/>
        <shadow val="0"/>
        <u val="none"/>
        <vertAlign val="baseline"/>
        <sz val="11"/>
        <color auto="1"/>
        <name val="Calibri"/>
        <family val="2"/>
        <scheme val="none"/>
      </font>
      <numFmt numFmtId="167" formatCode="&quot;$&quot;#,##0"/>
      <alignment horizontal="center" vertical="center" textRotation="0" wrapText="0" indent="0" justifyLastLine="0" shrinkToFit="0" readingOrder="0"/>
      <border diagonalUp="0" diagonalDown="0">
        <left/>
        <right/>
        <top style="thin">
          <color theme="8"/>
        </top>
        <bottom/>
      </border>
    </dxf>
    <dxf>
      <font>
        <b val="0"/>
        <i val="0"/>
        <strike val="0"/>
        <condense val="0"/>
        <extend val="0"/>
        <outline val="0"/>
        <shadow val="0"/>
        <u val="none"/>
        <vertAlign val="baseline"/>
        <sz val="11"/>
        <color auto="1"/>
        <name val="Calibri"/>
        <family val="2"/>
        <scheme val="none"/>
      </font>
      <numFmt numFmtId="2" formatCode="0.00"/>
      <alignment horizontal="center" vertical="center" textRotation="0" wrapText="0" indent="0" justifyLastLine="0" shrinkToFit="0" readingOrder="0"/>
      <border diagonalUp="0" diagonalDown="0">
        <left/>
        <right/>
        <top style="thin">
          <color theme="8"/>
        </top>
        <bottom/>
      </border>
    </dxf>
    <dxf>
      <font>
        <b val="0"/>
        <i val="0"/>
        <strike val="0"/>
        <condense val="0"/>
        <extend val="0"/>
        <outline val="0"/>
        <shadow val="0"/>
        <u val="none"/>
        <vertAlign val="baseline"/>
        <sz val="11"/>
        <color auto="1"/>
        <name val="Calibri"/>
        <family val="2"/>
        <scheme val="none"/>
      </font>
      <numFmt numFmtId="2" formatCode="0.00"/>
      <alignment horizontal="center" vertical="center" textRotation="0" wrapText="0" indent="0" justifyLastLine="0" shrinkToFit="0" readingOrder="0"/>
      <border diagonalUp="0" diagonalDown="0">
        <left/>
        <right/>
        <top style="thin">
          <color theme="8"/>
        </top>
        <bottom/>
      </border>
    </dxf>
    <dxf>
      <font>
        <b val="0"/>
        <i val="0"/>
        <strike val="0"/>
        <condense val="0"/>
        <extend val="0"/>
        <outline val="0"/>
        <shadow val="0"/>
        <u val="none"/>
        <vertAlign val="baseline"/>
        <sz val="11"/>
        <color auto="1"/>
        <name val="Calibri"/>
        <family val="2"/>
        <scheme val="none"/>
      </font>
      <numFmt numFmtId="3" formatCode="#,##0"/>
      <alignment horizontal="center" vertical="center" textRotation="0" wrapText="0" indent="0" justifyLastLine="0" shrinkToFit="0" readingOrder="0"/>
      <border diagonalUp="0" diagonalDown="0">
        <left/>
        <right/>
        <top style="thin">
          <color theme="8"/>
        </top>
        <bottom/>
      </border>
    </dxf>
    <dxf>
      <font>
        <b/>
        <i val="0"/>
        <strike val="0"/>
        <condense val="0"/>
        <extend val="0"/>
        <outline val="0"/>
        <shadow val="0"/>
        <u val="none"/>
        <vertAlign val="baseline"/>
        <sz val="11"/>
        <color auto="1"/>
        <name val="Calibri"/>
        <family val="2"/>
        <scheme val="none"/>
      </font>
      <numFmt numFmtId="166" formatCode="0.0%"/>
      <alignment horizontal="left" vertical="center" textRotation="0" wrapText="0" indent="0" justifyLastLine="0" shrinkToFit="0" readingOrder="0"/>
      <border diagonalUp="0" diagonalDown="0" outline="0">
        <left/>
        <right/>
        <top style="thin">
          <color theme="8"/>
        </top>
        <bottom/>
      </border>
    </dxf>
    <dxf>
      <border outline="0">
        <left style="thin">
          <color theme="8"/>
        </left>
        <right style="thin">
          <color theme="8"/>
        </right>
        <top style="medium">
          <color indexed="64"/>
        </top>
        <bottom style="thin">
          <color theme="8"/>
        </bottom>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dxf>
    <dxf>
      <font>
        <b/>
        <i val="0"/>
        <strike val="0"/>
        <condense val="0"/>
        <extend val="0"/>
        <outline val="0"/>
        <shadow val="0"/>
        <u val="none"/>
        <vertAlign val="baseline"/>
        <sz val="11"/>
        <color theme="0"/>
        <name val="Calibri"/>
        <family val="2"/>
        <scheme val="none"/>
      </font>
      <fill>
        <patternFill patternType="solid">
          <fgColor theme="8"/>
          <bgColor theme="8"/>
        </patternFill>
      </fill>
      <alignment horizontal="center" vertical="center" textRotation="0" wrapText="1" indent="0" justifyLastLine="0" shrinkToFit="0" readingOrder="0"/>
    </dxf>
    <dxf>
      <font>
        <color auto="1"/>
        <family val="2"/>
      </font>
      <numFmt numFmtId="167" formatCode="&quot;$&quot;#,##0"/>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
      <alignment horizontal="general" vertical="center" textRotation="0" wrapText="0" indent="0" justifyLastLine="0" shrinkToFit="0" readingOrder="0"/>
    </dxf>
    <dxf>
      <font>
        <color auto="1"/>
      </font>
      <numFmt numFmtId="2" formatCode="0.00"/>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center" textRotation="0" wrapText="0" indent="0" justifyLastLine="0" shrinkToFit="0" readingOrder="0"/>
    </dxf>
    <dxf>
      <alignment horizontal="general" vertical="center" textRotation="0" wrapText="0" indent="0" justifyLastLine="0" shrinkToFit="0" readingOrder="0"/>
    </dxf>
    <dxf>
      <alignment vertical="center" textRotation="0" indent="0" justifyLastLine="0" shrinkToFit="0" readingOrder="0"/>
    </dxf>
    <dxf>
      <font>
        <strike val="0"/>
        <outline val="0"/>
        <shadow val="0"/>
        <u val="none"/>
        <vertAlign val="baseline"/>
        <sz val="11"/>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1"/>
        <color auto="1"/>
        <name val="Calibri"/>
        <family val="2"/>
        <scheme val="none"/>
      </font>
      <numFmt numFmtId="167" formatCode="&quot;$&quot;#,##0"/>
      <alignment horizontal="center" vertical="center" textRotation="0" wrapText="0" indent="0" justifyLastLine="0" shrinkToFit="0" readingOrder="0"/>
      <border diagonalUp="0" diagonalDown="0" outline="0">
        <left/>
        <right/>
        <top style="thin">
          <color theme="8"/>
        </top>
        <bottom/>
      </border>
    </dxf>
    <dxf>
      <font>
        <b val="0"/>
        <i val="0"/>
        <strike val="0"/>
        <condense val="0"/>
        <extend val="0"/>
        <outline val="0"/>
        <shadow val="0"/>
        <u val="none"/>
        <vertAlign val="baseline"/>
        <sz val="11"/>
        <color auto="1"/>
        <name val="Calibri"/>
        <family val="2"/>
        <scheme val="none"/>
      </font>
      <numFmt numFmtId="2" formatCode="0.00"/>
      <alignment horizontal="center" vertical="center" textRotation="0" wrapText="0" indent="0" justifyLastLine="0" shrinkToFit="0" readingOrder="0"/>
      <border diagonalUp="0" diagonalDown="0" outline="0">
        <left/>
        <right/>
        <top style="thin">
          <color theme="8"/>
        </top>
        <bottom/>
      </border>
    </dxf>
    <dxf>
      <font>
        <b val="0"/>
        <i val="0"/>
        <strike val="0"/>
        <condense val="0"/>
        <extend val="0"/>
        <outline val="0"/>
        <shadow val="0"/>
        <u val="none"/>
        <vertAlign val="baseline"/>
        <sz val="11"/>
        <color auto="1"/>
        <name val="Calibri"/>
        <family val="2"/>
        <scheme val="none"/>
      </font>
      <numFmt numFmtId="2" formatCode="0.00"/>
      <alignment horizontal="center" vertical="center" textRotation="0" wrapText="0" indent="0" justifyLastLine="0" shrinkToFit="0" readingOrder="0"/>
      <border diagonalUp="0" diagonalDown="0" outline="0">
        <left/>
        <right/>
        <top style="thin">
          <color theme="8"/>
        </top>
        <bottom/>
      </border>
    </dxf>
    <dxf>
      <font>
        <b val="0"/>
        <i val="0"/>
        <strike val="0"/>
        <condense val="0"/>
        <extend val="0"/>
        <outline val="0"/>
        <shadow val="0"/>
        <u val="none"/>
        <vertAlign val="baseline"/>
        <sz val="11"/>
        <color auto="1"/>
        <name val="Calibri"/>
        <family val="2"/>
        <scheme val="none"/>
      </font>
      <numFmt numFmtId="3" formatCode="#,##0"/>
      <alignment horizontal="center" vertical="center" textRotation="0" wrapText="0" indent="0" justifyLastLine="0" shrinkToFit="0" readingOrder="0"/>
      <border diagonalUp="0" diagonalDown="0">
        <left/>
        <right/>
        <top style="thin">
          <color theme="8"/>
        </top>
        <bottom/>
      </border>
    </dxf>
    <dxf>
      <font>
        <b/>
        <i val="0"/>
        <strike val="0"/>
        <condense val="0"/>
        <extend val="0"/>
        <outline val="0"/>
        <shadow val="0"/>
        <u val="none"/>
        <vertAlign val="baseline"/>
        <sz val="11"/>
        <color auto="1"/>
        <name val="Calibri"/>
        <family val="2"/>
        <scheme val="none"/>
      </font>
      <numFmt numFmtId="166" formatCode="0.0%"/>
      <alignment horizontal="left" vertical="center" textRotation="0" wrapText="0" indent="0" justifyLastLine="0" shrinkToFit="0" readingOrder="0"/>
      <border diagonalUp="0" diagonalDown="0" outline="0">
        <left/>
        <right/>
        <top style="thin">
          <color theme="8"/>
        </top>
        <bottom/>
      </border>
    </dxf>
    <dxf>
      <border outline="0">
        <left style="thin">
          <color theme="8"/>
        </left>
        <right style="thin">
          <color theme="8"/>
        </right>
        <top style="medium">
          <color indexed="64"/>
        </top>
        <bottom style="thin">
          <color theme="8"/>
        </bottom>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dxf>
    <dxf>
      <font>
        <b/>
        <i val="0"/>
        <strike val="0"/>
        <condense val="0"/>
        <extend val="0"/>
        <outline val="0"/>
        <shadow val="0"/>
        <u val="none"/>
        <vertAlign val="baseline"/>
        <sz val="11"/>
        <color theme="0"/>
        <name val="Calibri"/>
        <family val="2"/>
        <scheme val="none"/>
      </font>
      <fill>
        <patternFill patternType="solid">
          <fgColor theme="8"/>
          <bgColor theme="8"/>
        </patternFill>
      </fill>
      <alignment horizontal="center" vertical="center" textRotation="0" wrapText="1" indent="0" justifyLastLine="0" shrinkToFit="0" readingOrder="0"/>
    </dxf>
    <dxf>
      <font>
        <color auto="1"/>
        <family val="2"/>
      </font>
      <numFmt numFmtId="167" formatCode="&quot;$&quot;#,##0"/>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
      <alignment horizontal="general" vertical="center" textRotation="0" wrapText="0" indent="0" justifyLastLine="0" shrinkToFit="0" readingOrder="0"/>
    </dxf>
    <dxf>
      <font>
        <color auto="1"/>
      </font>
      <numFmt numFmtId="2" formatCode="0.00"/>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center" textRotation="0" wrapText="0" indent="0" justifyLastLine="0" shrinkToFit="0" readingOrder="0"/>
    </dxf>
    <dxf>
      <alignment horizontal="general" vertical="center" textRotation="0" wrapText="0" indent="0" justifyLastLine="0" shrinkToFit="0" readingOrder="0"/>
    </dxf>
    <dxf>
      <alignment vertical="center" textRotation="0" indent="0" justifyLastLine="0" shrinkToFit="0" readingOrder="0"/>
    </dxf>
    <dxf>
      <font>
        <strike val="0"/>
        <outline val="0"/>
        <shadow val="0"/>
        <u val="none"/>
        <vertAlign val="baseline"/>
        <sz val="11"/>
        <color theme="0"/>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3" formatCode="#,##0"/>
      <alignment horizontal="center" vertical="center" textRotation="0" wrapText="0" indent="0" justifyLastLine="0" shrinkToFit="0" readingOrder="0"/>
    </dxf>
    <dxf>
      <font>
        <b/>
        <i val="0"/>
        <strike val="0"/>
        <condense val="0"/>
        <extend val="0"/>
        <outline val="0"/>
        <shadow val="0"/>
        <u val="none"/>
        <vertAlign val="baseline"/>
        <sz val="11"/>
        <color auto="1"/>
        <name val="Calibri"/>
        <family val="2"/>
        <scheme val="none"/>
      </font>
      <alignment horizontal="left" vertical="center" textRotation="0" wrapText="0" indent="0" justifyLastLine="0" shrinkToFit="0" readingOrder="0"/>
    </dxf>
    <dxf>
      <font>
        <b/>
        <i val="0"/>
        <strike val="0"/>
        <condense val="0"/>
        <extend val="0"/>
        <outline val="0"/>
        <shadow val="0"/>
        <u val="none"/>
        <vertAlign val="baseline"/>
        <sz val="11"/>
        <color auto="1"/>
        <name val="Calibri"/>
        <family val="2"/>
        <scheme val="none"/>
      </font>
      <numFmt numFmtId="166" formatCode="0.0%"/>
      <alignment horizontal="left"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dxf>
    <dxf>
      <font>
        <b/>
        <i val="0"/>
        <strike val="0"/>
        <condense val="0"/>
        <extend val="0"/>
        <outline val="0"/>
        <shadow val="0"/>
        <u val="none"/>
        <vertAlign val="baseline"/>
        <sz val="11"/>
        <color theme="0"/>
        <name val="Calibri"/>
        <family val="2"/>
        <scheme val="none"/>
      </font>
      <alignment horizontal="center" vertical="center" textRotation="0" wrapText="1" indent="0" justifyLastLine="0" shrinkToFit="0" readingOrder="0"/>
    </dxf>
    <dxf>
      <alignment horizontal="general" vertical="center" textRotation="0" wrapText="0" indent="0" justifyLastLine="0" shrinkToFit="0" readingOrder="0"/>
    </dxf>
    <dxf>
      <font>
        <color auto="1"/>
      </font>
      <numFmt numFmtId="167" formatCode="&quot;$&quot;#,##0"/>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
      <alignment horizontal="general" vertical="center" textRotation="0" wrapText="0" indent="0" justifyLastLine="0" shrinkToFit="0" readingOrder="0"/>
    </dxf>
    <dxf>
      <font>
        <color auto="1"/>
      </font>
      <numFmt numFmtId="2" formatCode="0.00"/>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center" textRotation="0" wrapText="0" indent="0" justifyLastLine="0" shrinkToFit="0" readingOrder="0"/>
    </dxf>
    <dxf>
      <alignment horizontal="general" vertical="center" textRotation="0" wrapText="0" indent="0" justifyLastLine="0" shrinkToFit="0" readingOrder="0"/>
    </dxf>
    <dxf>
      <alignment vertical="center" textRotation="0" indent="0" justifyLastLine="0" shrinkToFit="0" readingOrder="0"/>
    </dxf>
    <dxf>
      <font>
        <strike val="0"/>
        <outline val="0"/>
        <shadow val="0"/>
        <u val="none"/>
        <vertAlign val="baseline"/>
        <sz val="11"/>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1"/>
        <color auto="1"/>
        <name val="Calibri"/>
        <family val="2"/>
        <scheme val="none"/>
      </font>
      <numFmt numFmtId="167" formatCode="&quot;$&quot;#,##0"/>
      <alignment horizontal="center" vertical="center" textRotation="0" wrapText="0" indent="0" justifyLastLine="0" shrinkToFit="0" readingOrder="0"/>
      <border diagonalUp="0" diagonalDown="0" outline="0">
        <left/>
        <right/>
        <top style="thin">
          <color theme="8"/>
        </top>
        <bottom/>
      </border>
    </dxf>
    <dxf>
      <font>
        <b val="0"/>
        <i val="0"/>
        <strike val="0"/>
        <condense val="0"/>
        <extend val="0"/>
        <outline val="0"/>
        <shadow val="0"/>
        <u val="none"/>
        <vertAlign val="baseline"/>
        <sz val="11"/>
        <color auto="1"/>
        <name val="Calibri"/>
        <family val="2"/>
        <scheme val="none"/>
      </font>
      <numFmt numFmtId="2" formatCode="0.00"/>
      <alignment horizontal="center" vertical="center" textRotation="0" wrapText="0" indent="0" justifyLastLine="0" shrinkToFit="0" readingOrder="0"/>
      <border diagonalUp="0" diagonalDown="0" outline="0">
        <left/>
        <right/>
        <top style="thin">
          <color theme="8"/>
        </top>
        <bottom/>
      </border>
    </dxf>
    <dxf>
      <font>
        <b val="0"/>
        <i val="0"/>
        <strike val="0"/>
        <condense val="0"/>
        <extend val="0"/>
        <outline val="0"/>
        <shadow val="0"/>
        <u val="none"/>
        <vertAlign val="baseline"/>
        <sz val="11"/>
        <color auto="1"/>
        <name val="Calibri"/>
        <family val="2"/>
        <scheme val="none"/>
      </font>
      <numFmt numFmtId="2" formatCode="0.00"/>
      <alignment horizontal="center" vertical="center" textRotation="0" wrapText="0" indent="0" justifyLastLine="0" shrinkToFit="0" readingOrder="0"/>
      <border diagonalUp="0" diagonalDown="0" outline="0">
        <left/>
        <right/>
        <top style="thin">
          <color theme="8"/>
        </top>
        <bottom/>
      </border>
    </dxf>
    <dxf>
      <font>
        <b val="0"/>
        <i val="0"/>
        <strike val="0"/>
        <condense val="0"/>
        <extend val="0"/>
        <outline val="0"/>
        <shadow val="0"/>
        <u val="none"/>
        <vertAlign val="baseline"/>
        <sz val="11"/>
        <color auto="1"/>
        <name val="Calibri"/>
        <family val="2"/>
        <scheme val="none"/>
      </font>
      <numFmt numFmtId="3" formatCode="#,##0"/>
      <alignment horizontal="center" vertical="center" textRotation="0" wrapText="0" indent="0" justifyLastLine="0" shrinkToFit="0" readingOrder="0"/>
      <border diagonalUp="0" diagonalDown="0">
        <left/>
        <right/>
        <top style="thin">
          <color theme="8"/>
        </top>
        <bottom/>
      </border>
    </dxf>
    <dxf>
      <font>
        <b/>
        <i val="0"/>
        <strike val="0"/>
        <condense val="0"/>
        <extend val="0"/>
        <outline val="0"/>
        <shadow val="0"/>
        <u val="none"/>
        <vertAlign val="baseline"/>
        <sz val="11"/>
        <color auto="1"/>
        <name val="Calibri"/>
        <family val="2"/>
        <scheme val="none"/>
      </font>
      <numFmt numFmtId="166" formatCode="0.0%"/>
      <alignment horizontal="left" vertical="center" textRotation="0" wrapText="0" indent="0" justifyLastLine="0" shrinkToFit="0" readingOrder="0"/>
      <border diagonalUp="0" diagonalDown="0" outline="0">
        <left/>
        <right/>
        <top style="thin">
          <color theme="8"/>
        </top>
        <bottom/>
      </border>
    </dxf>
    <dxf>
      <border outline="0">
        <left style="thin">
          <color theme="8"/>
        </left>
        <right style="thin">
          <color theme="8"/>
        </right>
        <top style="medium">
          <color indexed="64"/>
        </top>
        <bottom style="thin">
          <color theme="8"/>
        </bottom>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dxf>
    <dxf>
      <font>
        <b/>
        <i val="0"/>
        <strike val="0"/>
        <condense val="0"/>
        <extend val="0"/>
        <outline val="0"/>
        <shadow val="0"/>
        <u val="none"/>
        <vertAlign val="baseline"/>
        <sz val="11"/>
        <color theme="0"/>
        <name val="Calibri"/>
        <family val="2"/>
        <scheme val="none"/>
      </font>
      <fill>
        <patternFill patternType="solid">
          <fgColor theme="8"/>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3" formatCode="#,##0"/>
      <alignment horizontal="center" vertical="center" textRotation="0" wrapText="0" indent="0" justifyLastLine="0" shrinkToFit="0" readingOrder="0"/>
    </dxf>
    <dxf>
      <font>
        <b/>
        <i val="0"/>
        <strike val="0"/>
        <condense val="0"/>
        <extend val="0"/>
        <outline val="0"/>
        <shadow val="0"/>
        <u val="none"/>
        <vertAlign val="baseline"/>
        <sz val="11"/>
        <color auto="1"/>
        <name val="Calibri"/>
        <family val="2"/>
        <scheme val="none"/>
      </font>
      <alignment horizontal="left" vertical="center" textRotation="0" wrapText="0" indent="0" justifyLastLine="0" shrinkToFit="0" readingOrder="0"/>
    </dxf>
    <dxf>
      <font>
        <b/>
        <i val="0"/>
        <strike val="0"/>
        <condense val="0"/>
        <extend val="0"/>
        <outline val="0"/>
        <shadow val="0"/>
        <u val="none"/>
        <vertAlign val="baseline"/>
        <sz val="11"/>
        <color auto="1"/>
        <name val="Calibri"/>
        <family val="2"/>
        <scheme val="none"/>
      </font>
      <numFmt numFmtId="166" formatCode="0.0%"/>
      <alignment horizontal="left"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dxf>
    <dxf>
      <font>
        <b/>
        <i val="0"/>
        <strike val="0"/>
        <condense val="0"/>
        <extend val="0"/>
        <outline val="0"/>
        <shadow val="0"/>
        <u val="none"/>
        <vertAlign val="baseline"/>
        <sz val="11"/>
        <color theme="0"/>
        <name val="Calibri"/>
        <family val="2"/>
        <scheme val="none"/>
      </font>
      <alignment horizontal="center" vertical="center" textRotation="0" wrapText="1" indent="0" justifyLastLine="0" shrinkToFit="0" readingOrder="0"/>
    </dxf>
    <dxf>
      <font>
        <color auto="1"/>
        <family val="2"/>
      </font>
      <numFmt numFmtId="167" formatCode="&quot;$&quot;#,##0"/>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
      <alignment horizontal="general" vertical="center" textRotation="0" wrapText="0" indent="0" justifyLastLine="0" shrinkToFit="0" readingOrder="0"/>
    </dxf>
    <dxf>
      <font>
        <color auto="1"/>
      </font>
      <numFmt numFmtId="2" formatCode="0.00"/>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center" textRotation="0" wrapText="0" indent="0" justifyLastLine="0" shrinkToFit="0" readingOrder="0"/>
    </dxf>
    <dxf>
      <alignment horizontal="general" vertical="center" textRotation="0" wrapText="0" indent="0" justifyLastLine="0" shrinkToFit="0" readingOrder="0"/>
    </dxf>
    <dxf>
      <alignment vertical="center" textRotation="0" indent="0" justifyLastLine="0" shrinkToFit="0" readingOrder="0"/>
    </dxf>
    <dxf>
      <font>
        <strike val="0"/>
        <outline val="0"/>
        <shadow val="0"/>
        <u val="none"/>
        <vertAlign val="baseline"/>
        <sz val="11"/>
        <color theme="0"/>
        <name val="Calibri"/>
        <family val="2"/>
        <scheme val="minor"/>
      </font>
      <alignment horizontal="center" vertical="center" textRotation="0" wrapText="1" indent="0" justifyLastLine="0" shrinkToFit="0" readingOrder="0"/>
    </dxf>
    <dxf>
      <alignment horizontal="general"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
      <alignment vertical="center" textRotation="0" indent="0" justifyLastLine="0" shrinkToFit="0" readingOrder="0"/>
    </dxf>
    <dxf>
      <numFmt numFmtId="2" formatCode="0.00"/>
      <alignment vertical="center" textRotation="0" indent="0" justifyLastLine="0" shrinkToFit="0" readingOrder="0"/>
    </dxf>
    <dxf>
      <font>
        <b val="0"/>
        <i val="0"/>
        <strike val="0"/>
        <condense val="0"/>
        <extend val="0"/>
        <outline val="0"/>
        <shadow val="0"/>
        <u val="none"/>
        <vertAlign val="baseline"/>
        <sz val="11"/>
        <color auto="1"/>
        <name val="Calibri"/>
        <family val="2"/>
        <scheme val="minor"/>
      </font>
      <numFmt numFmtId="3" formatCode="#,##0"/>
      <alignment vertical="center" textRotation="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center" textRotation="0" wrapText="0" indent="0" justifyLastLine="0" shrinkToFit="0" readingOrder="0"/>
    </dxf>
    <dxf>
      <alignment horizontal="general" vertical="center" textRotation="0" wrapText="0" indent="0" justifyLastLine="0" shrinkToFit="0" readingOrder="0"/>
    </dxf>
    <dxf>
      <alignment vertical="center" textRotation="0" indent="0" justifyLastLine="0" shrinkToFit="0" readingOrder="0"/>
    </dxf>
    <dxf>
      <font>
        <strike val="0"/>
        <outline val="0"/>
        <shadow val="0"/>
        <u val="none"/>
        <vertAlign val="baseline"/>
        <sz val="11"/>
        <color theme="0"/>
        <name val="Calibri"/>
        <family val="2"/>
        <scheme val="minor"/>
      </font>
      <alignment horizontal="center" vertical="center" textRotation="0" wrapText="1" indent="0" justifyLastLine="0" shrinkToFit="0" readingOrder="0"/>
    </dxf>
    <dxf>
      <font>
        <color theme="6" tint="0.59996337778862885"/>
      </font>
    </dxf>
    <dxf>
      <font>
        <color theme="8" tint="0.59996337778862885"/>
      </font>
    </dxf>
    <dxf>
      <font>
        <color theme="8" tint="0.59996337778862885"/>
      </font>
    </dxf>
    <dxf>
      <font>
        <color theme="9" tint="0.79998168889431442"/>
      </font>
    </dxf>
    <dxf>
      <font>
        <color theme="5" tint="0.79998168889431442"/>
      </font>
      <fill>
        <patternFill>
          <bgColor theme="5" tint="0.79998168889431442"/>
        </patternFill>
      </fill>
    </dxf>
    <dxf>
      <font>
        <b val="0"/>
        <i val="0"/>
        <strike val="0"/>
        <condense val="0"/>
        <extend val="0"/>
        <outline val="0"/>
        <shadow val="0"/>
        <u val="none"/>
        <vertAlign val="baseline"/>
        <sz val="11"/>
        <color auto="1"/>
        <name val="Calibri"/>
        <family val="2"/>
        <scheme val="none"/>
      </font>
      <numFmt numFmtId="167" formatCode="&quot;$&quot;#,##0"/>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numFmt numFmtId="167" formatCode="&quot;$&quot;#,##0"/>
      <alignment horizontal="general"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numFmt numFmtId="2" formatCode="0.00"/>
      <alignment vertical="center" textRotation="0" indent="0" justifyLastLine="0" shrinkToFit="0" readingOrder="0"/>
      <border diagonalUp="0" diagonalDown="0" outline="0">
        <left/>
        <right style="thin">
          <color indexed="64"/>
        </right>
        <top style="thin">
          <color indexed="64"/>
        </top>
        <bottom style="thin">
          <color indexed="64"/>
        </bottom>
      </border>
    </dxf>
    <dxf>
      <border diagonalUp="0" diagonalDown="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auto="1"/>
        <name val="Calibri"/>
        <family val="2"/>
        <scheme val="none"/>
      </font>
      <alignment vertical="center" textRotation="0" indent="0" justifyLastLine="0" shrinkToFit="0" readingOrder="0"/>
    </dxf>
    <dxf>
      <border>
        <bottom style="medium">
          <color rgb="FF000000"/>
        </bottom>
      </border>
    </dxf>
    <dxf>
      <alignment horizontal="center" vertical="center" textRotation="0" wrapText="1" indent="0" justifyLastLine="0" shrinkToFit="0" readingOrder="0"/>
      <border diagonalUp="0" diagonalDown="0" outline="0">
        <left style="medium">
          <color indexed="64"/>
        </left>
        <right style="medium">
          <color indexed="64"/>
        </right>
        <top/>
        <bottom/>
      </border>
    </dxf>
  </dxfs>
  <tableStyles count="0" defaultTableStyle="TableStyleMedium2" defaultPivotStyle="PivotStyleLight16"/>
  <colors>
    <mruColors>
      <color rgb="FF00FF00"/>
      <color rgb="FFF3C9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Relocation!$G$30</c:f>
              <c:strCache>
                <c:ptCount val="1"/>
                <c:pt idx="0">
                  <c:v>Relocation Cost</c:v>
                </c:pt>
              </c:strCache>
            </c:strRef>
          </c:tx>
          <c:spPr>
            <a:ln w="19050" cap="rnd">
              <a:solidFill>
                <a:schemeClr val="accent1"/>
              </a:solidFill>
              <a:round/>
            </a:ln>
            <a:effectLst/>
          </c:spPr>
          <c:marker>
            <c:symbol val="none"/>
          </c:marker>
          <c:xVal>
            <c:numRef>
              <c:f>Relocation!$E$31:$E$157</c:f>
              <c:numCache>
                <c:formatCode>0.00</c:formatCode>
                <c:ptCount val="12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pt idx="67">
                  <c:v>3.05</c:v>
                </c:pt>
                <c:pt idx="68">
                  <c:v>3.1</c:v>
                </c:pt>
                <c:pt idx="69">
                  <c:v>3.15</c:v>
                </c:pt>
                <c:pt idx="70">
                  <c:v>3.2</c:v>
                </c:pt>
                <c:pt idx="71">
                  <c:v>3.25</c:v>
                </c:pt>
                <c:pt idx="72">
                  <c:v>3.3</c:v>
                </c:pt>
                <c:pt idx="73">
                  <c:v>3.35</c:v>
                </c:pt>
                <c:pt idx="74">
                  <c:v>3.4</c:v>
                </c:pt>
                <c:pt idx="75">
                  <c:v>3.45</c:v>
                </c:pt>
                <c:pt idx="76">
                  <c:v>3.5</c:v>
                </c:pt>
                <c:pt idx="77">
                  <c:v>3.55</c:v>
                </c:pt>
                <c:pt idx="78">
                  <c:v>3.6</c:v>
                </c:pt>
                <c:pt idx="79">
                  <c:v>3.65</c:v>
                </c:pt>
                <c:pt idx="80">
                  <c:v>3.7</c:v>
                </c:pt>
                <c:pt idx="81">
                  <c:v>3.75</c:v>
                </c:pt>
                <c:pt idx="82">
                  <c:v>3.8</c:v>
                </c:pt>
                <c:pt idx="83">
                  <c:v>3.85</c:v>
                </c:pt>
                <c:pt idx="84">
                  <c:v>3.9</c:v>
                </c:pt>
                <c:pt idx="85">
                  <c:v>3.95</c:v>
                </c:pt>
                <c:pt idx="86">
                  <c:v>4</c:v>
                </c:pt>
                <c:pt idx="87">
                  <c:v>4.05</c:v>
                </c:pt>
                <c:pt idx="88">
                  <c:v>4.0999999999999996</c:v>
                </c:pt>
                <c:pt idx="89">
                  <c:v>4.1500000000000004</c:v>
                </c:pt>
                <c:pt idx="90">
                  <c:v>4.2</c:v>
                </c:pt>
                <c:pt idx="91">
                  <c:v>4.25</c:v>
                </c:pt>
                <c:pt idx="92">
                  <c:v>4.3</c:v>
                </c:pt>
                <c:pt idx="93">
                  <c:v>4.3499999999999996</c:v>
                </c:pt>
                <c:pt idx="94">
                  <c:v>4.4000000000000004</c:v>
                </c:pt>
                <c:pt idx="95">
                  <c:v>4.45</c:v>
                </c:pt>
                <c:pt idx="96">
                  <c:v>4.5</c:v>
                </c:pt>
                <c:pt idx="97">
                  <c:v>4.55</c:v>
                </c:pt>
                <c:pt idx="98">
                  <c:v>4.5999999999999996</c:v>
                </c:pt>
                <c:pt idx="99">
                  <c:v>4.6500000000000004</c:v>
                </c:pt>
                <c:pt idx="100">
                  <c:v>4.7</c:v>
                </c:pt>
                <c:pt idx="101">
                  <c:v>4.75</c:v>
                </c:pt>
                <c:pt idx="102">
                  <c:v>4.8</c:v>
                </c:pt>
                <c:pt idx="103">
                  <c:v>4.8499999999999996</c:v>
                </c:pt>
                <c:pt idx="104">
                  <c:v>4.9000000000000004</c:v>
                </c:pt>
                <c:pt idx="105">
                  <c:v>4.95</c:v>
                </c:pt>
                <c:pt idx="106">
                  <c:v>5</c:v>
                </c:pt>
                <c:pt idx="107">
                  <c:v>5.05</c:v>
                </c:pt>
                <c:pt idx="108">
                  <c:v>5.0999999999999996</c:v>
                </c:pt>
                <c:pt idx="109">
                  <c:v>5.15</c:v>
                </c:pt>
                <c:pt idx="110">
                  <c:v>5.2</c:v>
                </c:pt>
                <c:pt idx="111">
                  <c:v>5.25</c:v>
                </c:pt>
                <c:pt idx="112">
                  <c:v>5.3</c:v>
                </c:pt>
                <c:pt idx="113">
                  <c:v>5.35</c:v>
                </c:pt>
                <c:pt idx="114">
                  <c:v>5.4</c:v>
                </c:pt>
                <c:pt idx="115">
                  <c:v>5.45</c:v>
                </c:pt>
                <c:pt idx="116">
                  <c:v>5.5</c:v>
                </c:pt>
                <c:pt idx="117">
                  <c:v>5.55</c:v>
                </c:pt>
                <c:pt idx="118">
                  <c:v>5.6</c:v>
                </c:pt>
                <c:pt idx="119">
                  <c:v>5.65</c:v>
                </c:pt>
                <c:pt idx="120">
                  <c:v>5.7</c:v>
                </c:pt>
                <c:pt idx="121">
                  <c:v>5.75</c:v>
                </c:pt>
                <c:pt idx="122">
                  <c:v>5.8</c:v>
                </c:pt>
                <c:pt idx="123">
                  <c:v>5.85</c:v>
                </c:pt>
                <c:pt idx="124">
                  <c:v>5.9</c:v>
                </c:pt>
                <c:pt idx="125">
                  <c:v>5.95</c:v>
                </c:pt>
                <c:pt idx="126">
                  <c:v>6</c:v>
                </c:pt>
              </c:numCache>
            </c:numRef>
          </c:xVal>
          <c:yVal>
            <c:numRef>
              <c:f>Relocation!$G$31:$G$157</c:f>
              <c:numCache>
                <c:formatCode>"$"#,##0</c:formatCode>
                <c:ptCount val="127"/>
                <c:pt idx="0">
                  <c:v>0</c:v>
                </c:pt>
                <c:pt idx="1">
                  <c:v>0</c:v>
                </c:pt>
                <c:pt idx="2">
                  <c:v>0</c:v>
                </c:pt>
                <c:pt idx="3">
                  <c:v>0</c:v>
                </c:pt>
                <c:pt idx="4">
                  <c:v>0</c:v>
                </c:pt>
                <c:pt idx="5">
                  <c:v>0</c:v>
                </c:pt>
                <c:pt idx="6">
                  <c:v>0</c:v>
                </c:pt>
                <c:pt idx="7">
                  <c:v>2100</c:v>
                </c:pt>
                <c:pt idx="8">
                  <c:v>3200</c:v>
                </c:pt>
                <c:pt idx="9">
                  <c:v>4300</c:v>
                </c:pt>
                <c:pt idx="10">
                  <c:v>4500</c:v>
                </c:pt>
                <c:pt idx="11">
                  <c:v>4700</c:v>
                </c:pt>
                <c:pt idx="12">
                  <c:v>5025</c:v>
                </c:pt>
                <c:pt idx="13">
                  <c:v>5350</c:v>
                </c:pt>
                <c:pt idx="14">
                  <c:v>5675</c:v>
                </c:pt>
                <c:pt idx="15">
                  <c:v>6000</c:v>
                </c:pt>
                <c:pt idx="16">
                  <c:v>6185.7142857142853</c:v>
                </c:pt>
                <c:pt idx="17">
                  <c:v>6371.4285714285716</c:v>
                </c:pt>
                <c:pt idx="18">
                  <c:v>6557.1428571428569</c:v>
                </c:pt>
                <c:pt idx="19">
                  <c:v>6742.8571428571431</c:v>
                </c:pt>
                <c:pt idx="20">
                  <c:v>6928.5714285714284</c:v>
                </c:pt>
                <c:pt idx="21">
                  <c:v>7114.2857142857138</c:v>
                </c:pt>
                <c:pt idx="22">
                  <c:v>7300</c:v>
                </c:pt>
                <c:pt idx="23">
                  <c:v>8574.9999999999982</c:v>
                </c:pt>
                <c:pt idx="24">
                  <c:v>9850</c:v>
                </c:pt>
                <c:pt idx="25">
                  <c:v>11124.999999999998</c:v>
                </c:pt>
                <c:pt idx="26">
                  <c:v>12400</c:v>
                </c:pt>
                <c:pt idx="27">
                  <c:v>12400</c:v>
                </c:pt>
                <c:pt idx="28">
                  <c:v>12400</c:v>
                </c:pt>
                <c:pt idx="29">
                  <c:v>12400</c:v>
                </c:pt>
                <c:pt idx="30">
                  <c:v>12400</c:v>
                </c:pt>
                <c:pt idx="31">
                  <c:v>12400</c:v>
                </c:pt>
                <c:pt idx="32">
                  <c:v>12400</c:v>
                </c:pt>
                <c:pt idx="33">
                  <c:v>12400</c:v>
                </c:pt>
                <c:pt idx="34">
                  <c:v>12400</c:v>
                </c:pt>
                <c:pt idx="35">
                  <c:v>12400</c:v>
                </c:pt>
                <c:pt idx="36">
                  <c:v>12400</c:v>
                </c:pt>
                <c:pt idx="37">
                  <c:v>12400</c:v>
                </c:pt>
                <c:pt idx="38">
                  <c:v>12400</c:v>
                </c:pt>
                <c:pt idx="39">
                  <c:v>12400</c:v>
                </c:pt>
                <c:pt idx="40">
                  <c:v>12400</c:v>
                </c:pt>
                <c:pt idx="41">
                  <c:v>12400</c:v>
                </c:pt>
                <c:pt idx="42">
                  <c:v>12400</c:v>
                </c:pt>
                <c:pt idx="43">
                  <c:v>12400</c:v>
                </c:pt>
                <c:pt idx="44">
                  <c:v>12400</c:v>
                </c:pt>
                <c:pt idx="45">
                  <c:v>12400</c:v>
                </c:pt>
                <c:pt idx="46">
                  <c:v>12400</c:v>
                </c:pt>
                <c:pt idx="47">
                  <c:v>12400</c:v>
                </c:pt>
                <c:pt idx="48">
                  <c:v>12400</c:v>
                </c:pt>
                <c:pt idx="49">
                  <c:v>12400</c:v>
                </c:pt>
                <c:pt idx="50">
                  <c:v>12400</c:v>
                </c:pt>
                <c:pt idx="51">
                  <c:v>12400</c:v>
                </c:pt>
                <c:pt idx="52">
                  <c:v>12400</c:v>
                </c:pt>
                <c:pt idx="53">
                  <c:v>12400</c:v>
                </c:pt>
                <c:pt idx="54">
                  <c:v>12400</c:v>
                </c:pt>
                <c:pt idx="55">
                  <c:v>12400</c:v>
                </c:pt>
                <c:pt idx="56">
                  <c:v>12400</c:v>
                </c:pt>
                <c:pt idx="57">
                  <c:v>12400</c:v>
                </c:pt>
                <c:pt idx="58">
                  <c:v>12400</c:v>
                </c:pt>
                <c:pt idx="59">
                  <c:v>12400</c:v>
                </c:pt>
                <c:pt idx="60">
                  <c:v>12400</c:v>
                </c:pt>
                <c:pt idx="61">
                  <c:v>12400</c:v>
                </c:pt>
                <c:pt idx="62">
                  <c:v>12400</c:v>
                </c:pt>
                <c:pt idx="63">
                  <c:v>12400</c:v>
                </c:pt>
                <c:pt idx="64">
                  <c:v>12400</c:v>
                </c:pt>
                <c:pt idx="65">
                  <c:v>12400</c:v>
                </c:pt>
                <c:pt idx="66">
                  <c:v>12400</c:v>
                </c:pt>
                <c:pt idx="67">
                  <c:v>12400</c:v>
                </c:pt>
                <c:pt idx="68">
                  <c:v>12400</c:v>
                </c:pt>
                <c:pt idx="69">
                  <c:v>12400</c:v>
                </c:pt>
                <c:pt idx="70">
                  <c:v>12400</c:v>
                </c:pt>
                <c:pt idx="71">
                  <c:v>12400</c:v>
                </c:pt>
                <c:pt idx="72">
                  <c:v>12400</c:v>
                </c:pt>
                <c:pt idx="73">
                  <c:v>12400</c:v>
                </c:pt>
                <c:pt idx="74">
                  <c:v>12400</c:v>
                </c:pt>
                <c:pt idx="75">
                  <c:v>12400</c:v>
                </c:pt>
                <c:pt idx="76">
                  <c:v>12400</c:v>
                </c:pt>
                <c:pt idx="77">
                  <c:v>12400</c:v>
                </c:pt>
                <c:pt idx="78">
                  <c:v>12400</c:v>
                </c:pt>
                <c:pt idx="79">
                  <c:v>12400</c:v>
                </c:pt>
                <c:pt idx="80">
                  <c:v>12400</c:v>
                </c:pt>
                <c:pt idx="81">
                  <c:v>12400</c:v>
                </c:pt>
                <c:pt idx="82">
                  <c:v>12400</c:v>
                </c:pt>
                <c:pt idx="83">
                  <c:v>12400</c:v>
                </c:pt>
                <c:pt idx="84">
                  <c:v>12400</c:v>
                </c:pt>
                <c:pt idx="85">
                  <c:v>12400</c:v>
                </c:pt>
                <c:pt idx="86">
                  <c:v>12400</c:v>
                </c:pt>
                <c:pt idx="87">
                  <c:v>12400</c:v>
                </c:pt>
                <c:pt idx="88">
                  <c:v>12400</c:v>
                </c:pt>
                <c:pt idx="89">
                  <c:v>12400</c:v>
                </c:pt>
                <c:pt idx="90">
                  <c:v>12400</c:v>
                </c:pt>
                <c:pt idx="91">
                  <c:v>12400</c:v>
                </c:pt>
                <c:pt idx="92">
                  <c:v>12400</c:v>
                </c:pt>
                <c:pt idx="93">
                  <c:v>12400</c:v>
                </c:pt>
                <c:pt idx="94">
                  <c:v>12400</c:v>
                </c:pt>
                <c:pt idx="95">
                  <c:v>12400</c:v>
                </c:pt>
                <c:pt idx="96">
                  <c:v>12400</c:v>
                </c:pt>
                <c:pt idx="97">
                  <c:v>12400</c:v>
                </c:pt>
                <c:pt idx="98">
                  <c:v>12400</c:v>
                </c:pt>
                <c:pt idx="99">
                  <c:v>12400</c:v>
                </c:pt>
                <c:pt idx="100">
                  <c:v>12400</c:v>
                </c:pt>
                <c:pt idx="101">
                  <c:v>12400</c:v>
                </c:pt>
                <c:pt idx="102">
                  <c:v>12400</c:v>
                </c:pt>
                <c:pt idx="103">
                  <c:v>12400</c:v>
                </c:pt>
                <c:pt idx="104">
                  <c:v>12400</c:v>
                </c:pt>
                <c:pt idx="105">
                  <c:v>12400</c:v>
                </c:pt>
                <c:pt idx="106">
                  <c:v>12400</c:v>
                </c:pt>
                <c:pt idx="107">
                  <c:v>12400</c:v>
                </c:pt>
                <c:pt idx="108">
                  <c:v>12400</c:v>
                </c:pt>
                <c:pt idx="109">
                  <c:v>12400</c:v>
                </c:pt>
                <c:pt idx="110">
                  <c:v>12400</c:v>
                </c:pt>
                <c:pt idx="111">
                  <c:v>12400</c:v>
                </c:pt>
                <c:pt idx="112">
                  <c:v>12400</c:v>
                </c:pt>
                <c:pt idx="113">
                  <c:v>12400</c:v>
                </c:pt>
                <c:pt idx="114">
                  <c:v>12400</c:v>
                </c:pt>
                <c:pt idx="115">
                  <c:v>12400</c:v>
                </c:pt>
                <c:pt idx="116">
                  <c:v>12400</c:v>
                </c:pt>
                <c:pt idx="117">
                  <c:v>12400</c:v>
                </c:pt>
                <c:pt idx="118">
                  <c:v>12400</c:v>
                </c:pt>
                <c:pt idx="119">
                  <c:v>12400</c:v>
                </c:pt>
                <c:pt idx="120">
                  <c:v>12400</c:v>
                </c:pt>
                <c:pt idx="121">
                  <c:v>12400</c:v>
                </c:pt>
                <c:pt idx="122">
                  <c:v>12400</c:v>
                </c:pt>
                <c:pt idx="123">
                  <c:v>12400</c:v>
                </c:pt>
                <c:pt idx="124">
                  <c:v>12400</c:v>
                </c:pt>
                <c:pt idx="125">
                  <c:v>12400</c:v>
                </c:pt>
                <c:pt idx="126">
                  <c:v>12400</c:v>
                </c:pt>
              </c:numCache>
            </c:numRef>
          </c:yVal>
          <c:smooth val="0"/>
          <c:extLst>
            <c:ext xmlns:c16="http://schemas.microsoft.com/office/drawing/2014/chart" uri="{C3380CC4-5D6E-409C-BE32-E72D297353CC}">
              <c16:uniqueId val="{00000000-6F83-421A-83DA-D769D3AB12AC}"/>
            </c:ext>
          </c:extLst>
        </c:ser>
        <c:dLbls>
          <c:showLegendKey val="0"/>
          <c:showVal val="0"/>
          <c:showCatName val="0"/>
          <c:showSerName val="0"/>
          <c:showPercent val="0"/>
          <c:showBubbleSize val="0"/>
        </c:dLbls>
        <c:axId val="434206895"/>
        <c:axId val="434203151"/>
      </c:scatterChart>
      <c:valAx>
        <c:axId val="434206895"/>
        <c:scaling>
          <c:orientation val="minMax"/>
          <c:max val="6"/>
          <c:min val="0"/>
        </c:scaling>
        <c:delete val="0"/>
        <c:axPos val="b"/>
        <c:majorGridlines>
          <c:spPr>
            <a:ln w="9525" cap="flat" cmpd="sng" algn="ctr">
              <a:solidFill>
                <a:schemeClr val="tx1">
                  <a:lumMod val="15000"/>
                  <a:lumOff val="85000"/>
                </a:schemeClr>
              </a:solidFill>
              <a:round/>
            </a:ln>
            <a:effectLst/>
          </c:spPr>
        </c:majorGridlines>
        <c:title>
          <c:tx>
            <c:strRef>
              <c:f>Relocation!$E$30</c:f>
              <c:strCache>
                <c:ptCount val="1"/>
                <c:pt idx="0">
                  <c:v>Depth Above Floor Level (m)</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203151"/>
        <c:crosses val="autoZero"/>
        <c:crossBetween val="midCat"/>
        <c:majorUnit val="0.5"/>
      </c:valAx>
      <c:valAx>
        <c:axId val="43420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Relocation Cost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20689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Total Damages Breakdown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bar"/>
        <c:grouping val="stacked"/>
        <c:varyColors val="0"/>
        <c:ser>
          <c:idx val="0"/>
          <c:order val="0"/>
          <c:tx>
            <c:strRef>
              <c:f>'Summary Output'!$D$8</c:f>
              <c:strCache>
                <c:ptCount val="1"/>
                <c:pt idx="0">
                  <c:v>Structural</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numRef>
              <c:f>'Summary Output'!$B$9:$B$18</c:f>
              <c:numCache>
                <c:formatCode>0.0%</c:formatCode>
                <c:ptCount val="10"/>
                <c:pt idx="0" formatCode="0.000%">
                  <c:v>1.0000000000000001E-5</c:v>
                </c:pt>
                <c:pt idx="1">
                  <c:v>2E-3</c:v>
                </c:pt>
                <c:pt idx="2">
                  <c:v>5.0000000000000001E-3</c:v>
                </c:pt>
                <c:pt idx="3" formatCode="0%">
                  <c:v>0.01</c:v>
                </c:pt>
                <c:pt idx="4" formatCode="0%">
                  <c:v>0.02</c:v>
                </c:pt>
                <c:pt idx="5" formatCode="0%">
                  <c:v>0.05</c:v>
                </c:pt>
                <c:pt idx="6" formatCode="0%">
                  <c:v>0.1</c:v>
                </c:pt>
                <c:pt idx="7" formatCode="0%">
                  <c:v>0.2</c:v>
                </c:pt>
                <c:pt idx="8" formatCode="0%">
                  <c:v>0.5</c:v>
                </c:pt>
                <c:pt idx="9" formatCode="0%">
                  <c:v>1</c:v>
                </c:pt>
              </c:numCache>
            </c:numRef>
          </c:cat>
          <c:val>
            <c:numRef>
              <c:f>'Summary Output'!$D$9:$D$18</c:f>
              <c:numCache>
                <c:formatCode>"$"#,##0</c:formatCode>
                <c:ptCount val="10"/>
                <c:pt idx="0">
                  <c:v>18472151.351965293</c:v>
                </c:pt>
                <c:pt idx="1">
                  <c:v>9021883.8121441137</c:v>
                </c:pt>
                <c:pt idx="2">
                  <c:v>7329963.9632234629</c:v>
                </c:pt>
                <c:pt idx="3">
                  <c:v>5115954.6597640775</c:v>
                </c:pt>
                <c:pt idx="4">
                  <c:v>3163800.1653450415</c:v>
                </c:pt>
                <c:pt idx="5">
                  <c:v>1528960.0221178806</c:v>
                </c:pt>
                <c:pt idx="6">
                  <c:v>365705.27856166585</c:v>
                </c:pt>
                <c:pt idx="7">
                  <c:v>0</c:v>
                </c:pt>
                <c:pt idx="8">
                  <c:v>0</c:v>
                </c:pt>
                <c:pt idx="9">
                  <c:v>0</c:v>
                </c:pt>
              </c:numCache>
            </c:numRef>
          </c:val>
          <c:extLst>
            <c:ext xmlns:c16="http://schemas.microsoft.com/office/drawing/2014/chart" uri="{C3380CC4-5D6E-409C-BE32-E72D297353CC}">
              <c16:uniqueId val="{00000000-8F38-4037-A61E-A9373CDFE059}"/>
            </c:ext>
          </c:extLst>
        </c:ser>
        <c:ser>
          <c:idx val="1"/>
          <c:order val="1"/>
          <c:tx>
            <c:strRef>
              <c:f>'Summary Output'!$E$8</c:f>
              <c:strCache>
                <c:ptCount val="1"/>
                <c:pt idx="0">
                  <c:v>Internal</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cat>
            <c:numRef>
              <c:f>'Summary Output'!$B$9:$B$18</c:f>
              <c:numCache>
                <c:formatCode>0.0%</c:formatCode>
                <c:ptCount val="10"/>
                <c:pt idx="0" formatCode="0.000%">
                  <c:v>1.0000000000000001E-5</c:v>
                </c:pt>
                <c:pt idx="1">
                  <c:v>2E-3</c:v>
                </c:pt>
                <c:pt idx="2">
                  <c:v>5.0000000000000001E-3</c:v>
                </c:pt>
                <c:pt idx="3" formatCode="0%">
                  <c:v>0.01</c:v>
                </c:pt>
                <c:pt idx="4" formatCode="0%">
                  <c:v>0.02</c:v>
                </c:pt>
                <c:pt idx="5" formatCode="0%">
                  <c:v>0.05</c:v>
                </c:pt>
                <c:pt idx="6" formatCode="0%">
                  <c:v>0.1</c:v>
                </c:pt>
                <c:pt idx="7" formatCode="0%">
                  <c:v>0.2</c:v>
                </c:pt>
                <c:pt idx="8" formatCode="0%">
                  <c:v>0.5</c:v>
                </c:pt>
                <c:pt idx="9" formatCode="0%">
                  <c:v>1</c:v>
                </c:pt>
              </c:numCache>
            </c:numRef>
          </c:cat>
          <c:val>
            <c:numRef>
              <c:f>'Summary Output'!$E$9:$E$18</c:f>
              <c:numCache>
                <c:formatCode>"$"#,##0</c:formatCode>
                <c:ptCount val="10"/>
                <c:pt idx="0">
                  <c:v>9277982.9072007574</c:v>
                </c:pt>
                <c:pt idx="1">
                  <c:v>4983677.3758379798</c:v>
                </c:pt>
                <c:pt idx="2">
                  <c:v>4062929.7751924763</c:v>
                </c:pt>
                <c:pt idx="3">
                  <c:v>3057157.6931859944</c:v>
                </c:pt>
                <c:pt idx="4">
                  <c:v>1835158.7888177452</c:v>
                </c:pt>
                <c:pt idx="5">
                  <c:v>947138.15288391476</c:v>
                </c:pt>
                <c:pt idx="6">
                  <c:v>199255.78968685228</c:v>
                </c:pt>
                <c:pt idx="7">
                  <c:v>0</c:v>
                </c:pt>
                <c:pt idx="8">
                  <c:v>0</c:v>
                </c:pt>
                <c:pt idx="9">
                  <c:v>0</c:v>
                </c:pt>
              </c:numCache>
            </c:numRef>
          </c:val>
          <c:extLst>
            <c:ext xmlns:c16="http://schemas.microsoft.com/office/drawing/2014/chart" uri="{C3380CC4-5D6E-409C-BE32-E72D297353CC}">
              <c16:uniqueId val="{00000001-8F38-4037-A61E-A9373CDFE059}"/>
            </c:ext>
          </c:extLst>
        </c:ser>
        <c:ser>
          <c:idx val="2"/>
          <c:order val="2"/>
          <c:tx>
            <c:strRef>
              <c:f>'Summary Output'!$F$8</c:f>
              <c:strCache>
                <c:ptCount val="1"/>
                <c:pt idx="0">
                  <c:v>External</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cat>
            <c:numRef>
              <c:f>'Summary Output'!$B$9:$B$18</c:f>
              <c:numCache>
                <c:formatCode>0.0%</c:formatCode>
                <c:ptCount val="10"/>
                <c:pt idx="0" formatCode="0.000%">
                  <c:v>1.0000000000000001E-5</c:v>
                </c:pt>
                <c:pt idx="1">
                  <c:v>2E-3</c:v>
                </c:pt>
                <c:pt idx="2">
                  <c:v>5.0000000000000001E-3</c:v>
                </c:pt>
                <c:pt idx="3" formatCode="0%">
                  <c:v>0.01</c:v>
                </c:pt>
                <c:pt idx="4" formatCode="0%">
                  <c:v>0.02</c:v>
                </c:pt>
                <c:pt idx="5" formatCode="0%">
                  <c:v>0.05</c:v>
                </c:pt>
                <c:pt idx="6" formatCode="0%">
                  <c:v>0.1</c:v>
                </c:pt>
                <c:pt idx="7" formatCode="0%">
                  <c:v>0.2</c:v>
                </c:pt>
                <c:pt idx="8" formatCode="0%">
                  <c:v>0.5</c:v>
                </c:pt>
                <c:pt idx="9" formatCode="0%">
                  <c:v>1</c:v>
                </c:pt>
              </c:numCache>
            </c:numRef>
          </c:cat>
          <c:val>
            <c:numRef>
              <c:f>'Summary Output'!$F$9:$F$18</c:f>
              <c:numCache>
                <c:formatCode>"$"#,##0</c:formatCode>
                <c:ptCount val="10"/>
                <c:pt idx="0">
                  <c:v>1600754.7033285093</c:v>
                </c:pt>
                <c:pt idx="1">
                  <c:v>1192051.3748191027</c:v>
                </c:pt>
                <c:pt idx="2">
                  <c:v>1055816.9319826337</c:v>
                </c:pt>
                <c:pt idx="3">
                  <c:v>885523.87843704771</c:v>
                </c:pt>
                <c:pt idx="4">
                  <c:v>630084.29811866861</c:v>
                </c:pt>
                <c:pt idx="5">
                  <c:v>357615.41244573082</c:v>
                </c:pt>
                <c:pt idx="6">
                  <c:v>119205.13748191026</c:v>
                </c:pt>
                <c:pt idx="7">
                  <c:v>0</c:v>
                </c:pt>
                <c:pt idx="8">
                  <c:v>0</c:v>
                </c:pt>
                <c:pt idx="9">
                  <c:v>0</c:v>
                </c:pt>
              </c:numCache>
            </c:numRef>
          </c:val>
          <c:extLst>
            <c:ext xmlns:c16="http://schemas.microsoft.com/office/drawing/2014/chart" uri="{C3380CC4-5D6E-409C-BE32-E72D297353CC}">
              <c16:uniqueId val="{00000002-8F38-4037-A61E-A9373CDFE059}"/>
            </c:ext>
          </c:extLst>
        </c:ser>
        <c:ser>
          <c:idx val="3"/>
          <c:order val="3"/>
          <c:tx>
            <c:strRef>
              <c:f>'Summary Output'!$G$8</c:f>
              <c:strCache>
                <c:ptCount val="1"/>
                <c:pt idx="0">
                  <c:v>Intangibles</c:v>
                </c:pt>
              </c:strCache>
            </c:strRef>
          </c:tx>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invertIfNegative val="0"/>
          <c:cat>
            <c:numRef>
              <c:f>'Summary Output'!$B$9:$B$18</c:f>
              <c:numCache>
                <c:formatCode>0.0%</c:formatCode>
                <c:ptCount val="10"/>
                <c:pt idx="0" formatCode="0.000%">
                  <c:v>1.0000000000000001E-5</c:v>
                </c:pt>
                <c:pt idx="1">
                  <c:v>2E-3</c:v>
                </c:pt>
                <c:pt idx="2">
                  <c:v>5.0000000000000001E-3</c:v>
                </c:pt>
                <c:pt idx="3" formatCode="0%">
                  <c:v>0.01</c:v>
                </c:pt>
                <c:pt idx="4" formatCode="0%">
                  <c:v>0.02</c:v>
                </c:pt>
                <c:pt idx="5" formatCode="0%">
                  <c:v>0.05</c:v>
                </c:pt>
                <c:pt idx="6" formatCode="0%">
                  <c:v>0.1</c:v>
                </c:pt>
                <c:pt idx="7" formatCode="0%">
                  <c:v>0.2</c:v>
                </c:pt>
                <c:pt idx="8" formatCode="0%">
                  <c:v>0.5</c:v>
                </c:pt>
                <c:pt idx="9" formatCode="0%">
                  <c:v>1</c:v>
                </c:pt>
              </c:numCache>
            </c:numRef>
          </c:cat>
          <c:val>
            <c:numRef>
              <c:f>'Summary Output'!$G$9:$G$18</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8F38-4037-A61E-A9373CDFE059}"/>
            </c:ext>
          </c:extLst>
        </c:ser>
        <c:dLbls>
          <c:showLegendKey val="0"/>
          <c:showVal val="0"/>
          <c:showCatName val="0"/>
          <c:showSerName val="0"/>
          <c:showPercent val="0"/>
          <c:showBubbleSize val="0"/>
        </c:dLbls>
        <c:gapWidth val="150"/>
        <c:overlap val="100"/>
        <c:axId val="286509375"/>
        <c:axId val="286505215"/>
      </c:barChart>
      <c:catAx>
        <c:axId val="286509375"/>
        <c:scaling>
          <c:orientation val="maxMin"/>
        </c:scaling>
        <c:delete val="0"/>
        <c:axPos val="l"/>
        <c:title>
          <c:tx>
            <c:rich>
              <a:bodyPr rot="-5400000" spcFirstLastPara="1" vertOverflow="ellipsis" vert="horz" wrap="square" anchor="ctr" anchorCtr="1"/>
              <a:lstStyle/>
              <a:p>
                <a:pPr>
                  <a:defRPr sz="900" b="0" i="0" u="none" strike="noStrike" kern="1200" cap="none" baseline="0">
                    <a:solidFill>
                      <a:schemeClr val="tx1">
                        <a:lumMod val="50000"/>
                        <a:lumOff val="50000"/>
                      </a:schemeClr>
                    </a:solidFill>
                    <a:latin typeface="+mn-lt"/>
                    <a:ea typeface="+mn-ea"/>
                    <a:cs typeface="+mn-cs"/>
                  </a:defRPr>
                </a:pPr>
                <a:r>
                  <a:rPr lang="en-US"/>
                  <a:t>AEP</a:t>
                </a:r>
              </a:p>
            </c:rich>
          </c:tx>
          <c:overlay val="0"/>
          <c:spPr>
            <a:noFill/>
            <a:ln>
              <a:noFill/>
            </a:ln>
            <a:effectLst/>
          </c:spPr>
          <c:txPr>
            <a:bodyPr rot="-5400000" spcFirstLastPara="1" vertOverflow="ellipsis" vert="horz" wrap="square" anchor="ctr" anchorCtr="1"/>
            <a:lstStyle/>
            <a:p>
              <a:pPr>
                <a:defRPr sz="900" b="0" i="0" u="none" strike="noStrike" kern="1200" cap="none" baseline="0">
                  <a:solidFill>
                    <a:schemeClr val="tx1">
                      <a:lumMod val="50000"/>
                      <a:lumOff val="50000"/>
                    </a:schemeClr>
                  </a:solidFill>
                  <a:latin typeface="+mn-lt"/>
                  <a:ea typeface="+mn-ea"/>
                  <a:cs typeface="+mn-cs"/>
                </a:defRPr>
              </a:pPr>
              <a:endParaRPr lang="en-US"/>
            </a:p>
          </c:txPr>
        </c:title>
        <c:numFmt formatCode="0.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baseline="0">
                <a:solidFill>
                  <a:schemeClr val="tx1">
                    <a:lumMod val="50000"/>
                    <a:lumOff val="50000"/>
                  </a:schemeClr>
                </a:solidFill>
                <a:latin typeface="+mn-lt"/>
                <a:ea typeface="+mn-ea"/>
                <a:cs typeface="+mn-cs"/>
              </a:defRPr>
            </a:pPr>
            <a:endParaRPr lang="en-US"/>
          </a:p>
        </c:txPr>
        <c:crossAx val="286505215"/>
        <c:crosses val="autoZero"/>
        <c:auto val="1"/>
        <c:lblAlgn val="ctr"/>
        <c:lblOffset val="100"/>
        <c:noMultiLvlLbl val="0"/>
      </c:catAx>
      <c:valAx>
        <c:axId val="286505215"/>
        <c:scaling>
          <c:orientation val="minMax"/>
        </c:scaling>
        <c:delete val="0"/>
        <c:axPos val="t"/>
        <c:majorGridlines>
          <c:spPr>
            <a:ln w="9525" cap="flat" cmpd="sng" algn="ctr">
              <a:solidFill>
                <a:schemeClr val="tx1">
                  <a:lumMod val="15000"/>
                  <a:lumOff val="85000"/>
                </a:schemeClr>
              </a:solidFill>
              <a:round/>
            </a:ln>
            <a:effectLst/>
          </c:spPr>
        </c:majorGridlines>
        <c:title>
          <c:tx>
            <c:strRef>
              <c:f>'Summary Output'!$C$8</c:f>
              <c:strCache>
                <c:ptCount val="1"/>
                <c:pt idx="0">
                  <c:v>AEP Event Damage - Total</c:v>
                </c:pt>
              </c:strCache>
            </c:strRef>
          </c:tx>
          <c:overlay val="0"/>
          <c:spPr>
            <a:noFill/>
            <a:ln>
              <a:noFill/>
            </a:ln>
            <a:effectLst/>
          </c:spPr>
          <c:txPr>
            <a:bodyPr rot="0" spcFirstLastPara="1" vertOverflow="ellipsis" vert="horz" wrap="square" anchor="ctr" anchorCtr="1"/>
            <a:lstStyle/>
            <a:p>
              <a:pPr>
                <a:defRPr sz="900" b="0" i="0" u="none" strike="noStrike" kern="1200" cap="none" baseline="0">
                  <a:solidFill>
                    <a:schemeClr val="tx1">
                      <a:lumMod val="50000"/>
                      <a:lumOff val="50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cap="none" baseline="0">
                <a:solidFill>
                  <a:schemeClr val="tx1">
                    <a:lumMod val="50000"/>
                    <a:lumOff val="50000"/>
                  </a:schemeClr>
                </a:solidFill>
                <a:latin typeface="+mn-lt"/>
                <a:ea typeface="+mn-ea"/>
                <a:cs typeface="+mn-cs"/>
              </a:defRPr>
            </a:pPr>
            <a:endParaRPr lang="en-US"/>
          </a:p>
        </c:txPr>
        <c:crossAx val="2865093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cap="none" baseline="0">
              <a:solidFill>
                <a:schemeClr val="tx1">
                  <a:lumMod val="50000"/>
                  <a:lumOff val="50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cap="none" baseline="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Total AAD Breakdown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areaChart>
        <c:grouping val="stacked"/>
        <c:varyColors val="0"/>
        <c:ser>
          <c:idx val="0"/>
          <c:order val="0"/>
          <c:tx>
            <c:strRef>
              <c:f>'Summary Output'!$L$8</c:f>
              <c:strCache>
                <c:ptCount val="1"/>
                <c:pt idx="0">
                  <c:v>Structural</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cat>
            <c:numRef>
              <c:f>'Summary Output'!$J$9:$J$18</c:f>
              <c:numCache>
                <c:formatCode>0.0%</c:formatCode>
                <c:ptCount val="10"/>
                <c:pt idx="0" formatCode="0.000%">
                  <c:v>1.0000000000000001E-5</c:v>
                </c:pt>
                <c:pt idx="1">
                  <c:v>2E-3</c:v>
                </c:pt>
                <c:pt idx="2">
                  <c:v>5.0000000000000001E-3</c:v>
                </c:pt>
                <c:pt idx="3" formatCode="0%">
                  <c:v>0.01</c:v>
                </c:pt>
                <c:pt idx="4" formatCode="0%">
                  <c:v>0.02</c:v>
                </c:pt>
                <c:pt idx="5" formatCode="0%">
                  <c:v>0.05</c:v>
                </c:pt>
                <c:pt idx="6" formatCode="0%">
                  <c:v>0.1</c:v>
                </c:pt>
                <c:pt idx="7" formatCode="0%">
                  <c:v>0.2</c:v>
                </c:pt>
                <c:pt idx="8" formatCode="0%">
                  <c:v>0.5</c:v>
                </c:pt>
                <c:pt idx="9" formatCode="0%">
                  <c:v>1</c:v>
                </c:pt>
              </c:numCache>
            </c:numRef>
          </c:cat>
          <c:val>
            <c:numRef>
              <c:f>'Summary Output'!$L$9:$L$18</c:f>
              <c:numCache>
                <c:formatCode>"$"#,##0</c:formatCode>
                <c:ptCount val="10"/>
                <c:pt idx="0">
                  <c:v>27356.564988288861</c:v>
                </c:pt>
                <c:pt idx="1">
                  <c:v>24527.771663051364</c:v>
                </c:pt>
                <c:pt idx="2">
                  <c:v>31114.796557468853</c:v>
                </c:pt>
                <c:pt idx="3">
                  <c:v>41398.774125545591</c:v>
                </c:pt>
                <c:pt idx="4">
                  <c:v>70391.402811943844</c:v>
                </c:pt>
                <c:pt idx="5">
                  <c:v>47366.63251698867</c:v>
                </c:pt>
                <c:pt idx="6">
                  <c:v>18285.263928083292</c:v>
                </c:pt>
                <c:pt idx="7">
                  <c:v>0</c:v>
                </c:pt>
                <c:pt idx="8">
                  <c:v>0</c:v>
                </c:pt>
                <c:pt idx="9">
                  <c:v>0</c:v>
                </c:pt>
              </c:numCache>
            </c:numRef>
          </c:val>
          <c:extLst>
            <c:ext xmlns:c16="http://schemas.microsoft.com/office/drawing/2014/chart" uri="{C3380CC4-5D6E-409C-BE32-E72D297353CC}">
              <c16:uniqueId val="{00000000-2E46-4FB9-98E9-55B1BE9E6477}"/>
            </c:ext>
          </c:extLst>
        </c:ser>
        <c:ser>
          <c:idx val="1"/>
          <c:order val="1"/>
          <c:tx>
            <c:strRef>
              <c:f>'Summary Output'!$M$8</c:f>
              <c:strCache>
                <c:ptCount val="1"/>
                <c:pt idx="0">
                  <c:v>Internal</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cat>
            <c:numRef>
              <c:f>'Summary Output'!$J$9:$J$18</c:f>
              <c:numCache>
                <c:formatCode>0.0%</c:formatCode>
                <c:ptCount val="10"/>
                <c:pt idx="0" formatCode="0.000%">
                  <c:v>1.0000000000000001E-5</c:v>
                </c:pt>
                <c:pt idx="1">
                  <c:v>2E-3</c:v>
                </c:pt>
                <c:pt idx="2">
                  <c:v>5.0000000000000001E-3</c:v>
                </c:pt>
                <c:pt idx="3" formatCode="0%">
                  <c:v>0.01</c:v>
                </c:pt>
                <c:pt idx="4" formatCode="0%">
                  <c:v>0.02</c:v>
                </c:pt>
                <c:pt idx="5" formatCode="0%">
                  <c:v>0.05</c:v>
                </c:pt>
                <c:pt idx="6" formatCode="0%">
                  <c:v>0.1</c:v>
                </c:pt>
                <c:pt idx="7" formatCode="0%">
                  <c:v>0.2</c:v>
                </c:pt>
                <c:pt idx="8" formatCode="0%">
                  <c:v>0.5</c:v>
                </c:pt>
                <c:pt idx="9" formatCode="0%">
                  <c:v>1</c:v>
                </c:pt>
              </c:numCache>
            </c:numRef>
          </c:cat>
          <c:val>
            <c:numRef>
              <c:f>'Summary Output'!$M$9:$M$18</c:f>
              <c:numCache>
                <c:formatCode>"$"#,##0</c:formatCode>
                <c:ptCount val="10"/>
                <c:pt idx="0">
                  <c:v>14190.351981623544</c:v>
                </c:pt>
                <c:pt idx="1">
                  <c:v>13569.910726545686</c:v>
                </c:pt>
                <c:pt idx="2">
                  <c:v>17800.218670946178</c:v>
                </c:pt>
                <c:pt idx="3">
                  <c:v>24461.582410018695</c:v>
                </c:pt>
                <c:pt idx="4">
                  <c:v>41734.454125524899</c:v>
                </c:pt>
                <c:pt idx="5">
                  <c:v>28659.848564269181</c:v>
                </c:pt>
                <c:pt idx="6">
                  <c:v>9962.7894843426147</c:v>
                </c:pt>
                <c:pt idx="7">
                  <c:v>0</c:v>
                </c:pt>
                <c:pt idx="8">
                  <c:v>0</c:v>
                </c:pt>
                <c:pt idx="9">
                  <c:v>0</c:v>
                </c:pt>
              </c:numCache>
            </c:numRef>
          </c:val>
          <c:extLst>
            <c:ext xmlns:c16="http://schemas.microsoft.com/office/drawing/2014/chart" uri="{C3380CC4-5D6E-409C-BE32-E72D297353CC}">
              <c16:uniqueId val="{00000001-2E46-4FB9-98E9-55B1BE9E6477}"/>
            </c:ext>
          </c:extLst>
        </c:ser>
        <c:ser>
          <c:idx val="2"/>
          <c:order val="2"/>
          <c:tx>
            <c:strRef>
              <c:f>'Summary Output'!$N$8</c:f>
              <c:strCache>
                <c:ptCount val="1"/>
                <c:pt idx="0">
                  <c:v>External</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cat>
            <c:numRef>
              <c:f>'Summary Output'!$J$9:$J$18</c:f>
              <c:numCache>
                <c:formatCode>0.0%</c:formatCode>
                <c:ptCount val="10"/>
                <c:pt idx="0" formatCode="0.000%">
                  <c:v>1.0000000000000001E-5</c:v>
                </c:pt>
                <c:pt idx="1">
                  <c:v>2E-3</c:v>
                </c:pt>
                <c:pt idx="2">
                  <c:v>5.0000000000000001E-3</c:v>
                </c:pt>
                <c:pt idx="3" formatCode="0%">
                  <c:v>0.01</c:v>
                </c:pt>
                <c:pt idx="4" formatCode="0%">
                  <c:v>0.02</c:v>
                </c:pt>
                <c:pt idx="5" formatCode="0%">
                  <c:v>0.05</c:v>
                </c:pt>
                <c:pt idx="6" formatCode="0%">
                  <c:v>0.1</c:v>
                </c:pt>
                <c:pt idx="7" formatCode="0%">
                  <c:v>0.2</c:v>
                </c:pt>
                <c:pt idx="8" formatCode="0%">
                  <c:v>0.5</c:v>
                </c:pt>
                <c:pt idx="9" formatCode="0%">
                  <c:v>1</c:v>
                </c:pt>
              </c:numCache>
            </c:numRef>
          </c:cat>
          <c:val>
            <c:numRef>
              <c:f>'Summary Output'!$N$9:$N$18</c:f>
              <c:numCache>
                <c:formatCode>"$"#,##0</c:formatCode>
                <c:ptCount val="10"/>
                <c:pt idx="0">
                  <c:v>2778.8420477568739</c:v>
                </c:pt>
                <c:pt idx="1">
                  <c:v>3371.8024602026044</c:v>
                </c:pt>
                <c:pt idx="2">
                  <c:v>4853.3520260492041</c:v>
                </c:pt>
                <c:pt idx="3">
                  <c:v>7578.0408827785823</c:v>
                </c:pt>
                <c:pt idx="4">
                  <c:v>14815.495658465992</c:v>
                </c:pt>
                <c:pt idx="5">
                  <c:v>11920.513748191028</c:v>
                </c:pt>
                <c:pt idx="6">
                  <c:v>5960.2568740955139</c:v>
                </c:pt>
                <c:pt idx="7">
                  <c:v>0</c:v>
                </c:pt>
                <c:pt idx="8">
                  <c:v>0</c:v>
                </c:pt>
                <c:pt idx="9">
                  <c:v>0</c:v>
                </c:pt>
              </c:numCache>
            </c:numRef>
          </c:val>
          <c:extLst>
            <c:ext xmlns:c16="http://schemas.microsoft.com/office/drawing/2014/chart" uri="{C3380CC4-5D6E-409C-BE32-E72D297353CC}">
              <c16:uniqueId val="{00000002-2E46-4FB9-98E9-55B1BE9E6477}"/>
            </c:ext>
          </c:extLst>
        </c:ser>
        <c:ser>
          <c:idx val="3"/>
          <c:order val="3"/>
          <c:tx>
            <c:strRef>
              <c:f>'Summary Output'!$O$8</c:f>
              <c:strCache>
                <c:ptCount val="1"/>
                <c:pt idx="0">
                  <c:v>Intangibles</c:v>
                </c:pt>
              </c:strCache>
            </c:strRef>
          </c:tx>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cat>
            <c:numRef>
              <c:f>'Summary Output'!$J$9:$J$18</c:f>
              <c:numCache>
                <c:formatCode>0.0%</c:formatCode>
                <c:ptCount val="10"/>
                <c:pt idx="0" formatCode="0.000%">
                  <c:v>1.0000000000000001E-5</c:v>
                </c:pt>
                <c:pt idx="1">
                  <c:v>2E-3</c:v>
                </c:pt>
                <c:pt idx="2">
                  <c:v>5.0000000000000001E-3</c:v>
                </c:pt>
                <c:pt idx="3" formatCode="0%">
                  <c:v>0.01</c:v>
                </c:pt>
                <c:pt idx="4" formatCode="0%">
                  <c:v>0.02</c:v>
                </c:pt>
                <c:pt idx="5" formatCode="0%">
                  <c:v>0.05</c:v>
                </c:pt>
                <c:pt idx="6" formatCode="0%">
                  <c:v>0.1</c:v>
                </c:pt>
                <c:pt idx="7" formatCode="0%">
                  <c:v>0.2</c:v>
                </c:pt>
                <c:pt idx="8" formatCode="0%">
                  <c:v>0.5</c:v>
                </c:pt>
                <c:pt idx="9" formatCode="0%">
                  <c:v>1</c:v>
                </c:pt>
              </c:numCache>
            </c:numRef>
          </c:cat>
          <c:val>
            <c:numRef>
              <c:f>'Summary Output'!$O$9:$O$18</c:f>
              <c:numCache>
                <c:formatCode>"$"#,##0</c:formatCode>
                <c:ptCount val="10"/>
                <c:pt idx="0">
                  <c:v>0</c:v>
                </c:pt>
                <c:pt idx="1">
                  <c:v>0</c:v>
                </c:pt>
                <c:pt idx="2">
                  <c:v>0</c:v>
                </c:pt>
                <c:pt idx="3">
                  <c:v>851.12468162083917</c:v>
                </c:pt>
                <c:pt idx="4">
                  <c:v>3226.1967390255668</c:v>
                </c:pt>
                <c:pt idx="5">
                  <c:v>6302.0917969126867</c:v>
                </c:pt>
                <c:pt idx="6">
                  <c:v>2369.5710757356487</c:v>
                </c:pt>
                <c:pt idx="7">
                  <c:v>0</c:v>
                </c:pt>
                <c:pt idx="8">
                  <c:v>0</c:v>
                </c:pt>
                <c:pt idx="9">
                  <c:v>0</c:v>
                </c:pt>
              </c:numCache>
            </c:numRef>
          </c:val>
          <c:extLst>
            <c:ext xmlns:c16="http://schemas.microsoft.com/office/drawing/2014/chart" uri="{C3380CC4-5D6E-409C-BE32-E72D297353CC}">
              <c16:uniqueId val="{00000003-2E46-4FB9-98E9-55B1BE9E6477}"/>
            </c:ext>
          </c:extLst>
        </c:ser>
        <c:dLbls>
          <c:showLegendKey val="0"/>
          <c:showVal val="0"/>
          <c:showCatName val="0"/>
          <c:showSerName val="0"/>
          <c:showPercent val="0"/>
          <c:showBubbleSize val="0"/>
        </c:dLbls>
        <c:axId val="286509375"/>
        <c:axId val="286505215"/>
      </c:areaChart>
      <c:catAx>
        <c:axId val="286509375"/>
        <c:scaling>
          <c:orientation val="minMax"/>
        </c:scaling>
        <c:delete val="0"/>
        <c:axPos val="b"/>
        <c:title>
          <c:tx>
            <c:rich>
              <a:bodyPr rot="0" spcFirstLastPara="1" vertOverflow="ellipsis" vert="horz" wrap="square" anchor="ctr" anchorCtr="1"/>
              <a:lstStyle/>
              <a:p>
                <a:pPr>
                  <a:defRPr sz="900" b="0" i="0" u="none" strike="noStrike" kern="1200" cap="none" baseline="0">
                    <a:solidFill>
                      <a:schemeClr val="tx1">
                        <a:lumMod val="50000"/>
                        <a:lumOff val="50000"/>
                      </a:schemeClr>
                    </a:solidFill>
                    <a:latin typeface="+mn-lt"/>
                    <a:ea typeface="+mn-ea"/>
                    <a:cs typeface="+mn-cs"/>
                  </a:defRPr>
                </a:pPr>
                <a:r>
                  <a:rPr lang="en-US"/>
                  <a:t>AEP</a:t>
                </a:r>
              </a:p>
            </c:rich>
          </c:tx>
          <c:overlay val="0"/>
          <c:spPr>
            <a:noFill/>
            <a:ln>
              <a:noFill/>
            </a:ln>
            <a:effectLst/>
          </c:spPr>
          <c:txPr>
            <a:bodyPr rot="0" spcFirstLastPara="1" vertOverflow="ellipsis" vert="horz" wrap="square" anchor="ctr" anchorCtr="1"/>
            <a:lstStyle/>
            <a:p>
              <a:pPr>
                <a:defRPr sz="900" b="0" i="0" u="none" strike="noStrike" kern="1200" cap="none" baseline="0">
                  <a:solidFill>
                    <a:schemeClr val="tx1">
                      <a:lumMod val="50000"/>
                      <a:lumOff val="50000"/>
                    </a:schemeClr>
                  </a:solidFill>
                  <a:latin typeface="+mn-lt"/>
                  <a:ea typeface="+mn-ea"/>
                  <a:cs typeface="+mn-cs"/>
                </a:defRPr>
              </a:pPr>
              <a:endParaRPr lang="en-US"/>
            </a:p>
          </c:txPr>
        </c:title>
        <c:numFmt formatCode="0.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baseline="0">
                <a:solidFill>
                  <a:schemeClr val="tx1">
                    <a:lumMod val="50000"/>
                    <a:lumOff val="50000"/>
                  </a:schemeClr>
                </a:solidFill>
                <a:latin typeface="+mn-lt"/>
                <a:ea typeface="+mn-ea"/>
                <a:cs typeface="+mn-cs"/>
              </a:defRPr>
            </a:pPr>
            <a:endParaRPr lang="en-US"/>
          </a:p>
        </c:txPr>
        <c:crossAx val="286505215"/>
        <c:crosses val="autoZero"/>
        <c:auto val="1"/>
        <c:lblAlgn val="ctr"/>
        <c:lblOffset val="100"/>
        <c:noMultiLvlLbl val="0"/>
      </c:catAx>
      <c:valAx>
        <c:axId val="286505215"/>
        <c:scaling>
          <c:orientation val="minMax"/>
        </c:scaling>
        <c:delete val="0"/>
        <c:axPos val="l"/>
        <c:majorGridlines>
          <c:spPr>
            <a:ln w="9525" cap="flat" cmpd="sng" algn="ctr">
              <a:solidFill>
                <a:schemeClr val="tx1">
                  <a:lumMod val="15000"/>
                  <a:lumOff val="85000"/>
                </a:schemeClr>
              </a:solidFill>
              <a:round/>
            </a:ln>
            <a:effectLst/>
          </c:spPr>
        </c:majorGridlines>
        <c:title>
          <c:tx>
            <c:strRef>
              <c:f>'Summary Output'!$C$8</c:f>
              <c:strCache>
                <c:ptCount val="1"/>
                <c:pt idx="0">
                  <c:v>AEP Event Damage - Total</c:v>
                </c:pt>
              </c:strCache>
            </c:strRef>
          </c:tx>
          <c:overlay val="0"/>
          <c:spPr>
            <a:noFill/>
            <a:ln>
              <a:noFill/>
            </a:ln>
            <a:effectLst/>
          </c:spPr>
          <c:txPr>
            <a:bodyPr rot="-5400000" spcFirstLastPara="1" vertOverflow="ellipsis" vert="horz" wrap="square" anchor="ctr" anchorCtr="1"/>
            <a:lstStyle/>
            <a:p>
              <a:pPr>
                <a:defRPr sz="900" b="0" i="0" u="none" strike="noStrike" kern="1200" cap="none" baseline="0">
                  <a:solidFill>
                    <a:schemeClr val="tx1">
                      <a:lumMod val="50000"/>
                      <a:lumOff val="50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cap="none" baseline="0">
                <a:solidFill>
                  <a:schemeClr val="tx1">
                    <a:lumMod val="50000"/>
                    <a:lumOff val="50000"/>
                  </a:schemeClr>
                </a:solidFill>
                <a:latin typeface="+mn-lt"/>
                <a:ea typeface="+mn-ea"/>
                <a:cs typeface="+mn-cs"/>
              </a:defRPr>
            </a:pPr>
            <a:endParaRPr lang="en-US"/>
          </a:p>
        </c:txPr>
        <c:crossAx val="28650937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cap="none" baseline="0">
              <a:solidFill>
                <a:schemeClr val="tx1">
                  <a:lumMod val="50000"/>
                  <a:lumOff val="50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cap="none" baseline="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422D-4E92-9DA6-7F854A2DAE98}"/>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422D-4E92-9DA6-7F854A2DAE98}"/>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422D-4E92-9DA6-7F854A2DAE98}"/>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422D-4E92-9DA6-7F854A2DAE98}"/>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1-422D-4E92-9DA6-7F854A2DAE98}"/>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3-422D-4E92-9DA6-7F854A2DAE98}"/>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5-422D-4E92-9DA6-7F854A2DAE98}"/>
                </c:ext>
              </c:extLst>
            </c:dLbl>
            <c:dLbl>
              <c:idx val="3"/>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7-422D-4E92-9DA6-7F854A2DAE98}"/>
                </c:ext>
              </c:extLst>
            </c:dLbl>
            <c:numFmt formatCode="0.0%" sourceLinked="0"/>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Output'!$Q$10:$Q$13</c:f>
              <c:strCache>
                <c:ptCount val="4"/>
                <c:pt idx="0">
                  <c:v>Structural</c:v>
                </c:pt>
                <c:pt idx="1">
                  <c:v>Internal</c:v>
                </c:pt>
                <c:pt idx="2">
                  <c:v>External</c:v>
                </c:pt>
                <c:pt idx="3">
                  <c:v>Intangibles</c:v>
                </c:pt>
              </c:strCache>
            </c:strRef>
          </c:cat>
          <c:val>
            <c:numRef>
              <c:f>'Summary Output'!$S$10:$S$13</c:f>
              <c:numCache>
                <c:formatCode>"$"#,##0</c:formatCode>
                <c:ptCount val="4"/>
                <c:pt idx="0">
                  <c:v>3231825.658474274</c:v>
                </c:pt>
                <c:pt idx="1">
                  <c:v>1866061.1394890775</c:v>
                </c:pt>
                <c:pt idx="2">
                  <c:v>636314.58240309218</c:v>
                </c:pt>
                <c:pt idx="3">
                  <c:v>158202.67114336381</c:v>
                </c:pt>
              </c:numCache>
            </c:numRef>
          </c:val>
          <c:extLst>
            <c:ext xmlns:c16="http://schemas.microsoft.com/office/drawing/2014/chart" uri="{C3380CC4-5D6E-409C-BE32-E72D297353CC}">
              <c16:uniqueId val="{00000008-422D-4E92-9DA6-7F854A2DAE98}"/>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'Damage Curves - Total'!$I$5</c:f>
              <c:strCache>
                <c:ptCount val="1"/>
                <c:pt idx="0">
                  <c:v>Residential - Single Storey - Average</c:v>
                </c:pt>
              </c:strCache>
            </c:strRef>
          </c:tx>
          <c:spPr>
            <a:ln w="19050" cap="rnd">
              <a:solidFill>
                <a:schemeClr val="accent1"/>
              </a:solidFill>
              <a:round/>
            </a:ln>
            <a:effectLst/>
          </c:spPr>
          <c:marker>
            <c:symbol val="none"/>
          </c:marker>
          <c:xVal>
            <c:numRef>
              <c:f>'Damage Curves - Total'!$C$31:$C$97</c:f>
              <c:numCache>
                <c:formatCode>0.00</c:formatCode>
                <c:ptCount val="6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numCache>
            </c:numRef>
          </c:xVal>
          <c:yVal>
            <c:numRef>
              <c:f>'Damage Curves - Total'!$I$31:$I$97</c:f>
              <c:numCache>
                <c:formatCode>"$"#,##0</c:formatCode>
                <c:ptCount val="67"/>
                <c:pt idx="0">
                  <c:v>0</c:v>
                </c:pt>
                <c:pt idx="1">
                  <c:v>1144.7477488342174</c:v>
                </c:pt>
                <c:pt idx="2">
                  <c:v>2289.4954976684348</c:v>
                </c:pt>
                <c:pt idx="3">
                  <c:v>3434.2432465026527</c:v>
                </c:pt>
                <c:pt idx="4">
                  <c:v>4578.9909953368706</c:v>
                </c:pt>
                <c:pt idx="5">
                  <c:v>5723.738744171088</c:v>
                </c:pt>
                <c:pt idx="6">
                  <c:v>6868.4864930053063</c:v>
                </c:pt>
                <c:pt idx="7">
                  <c:v>64215.259786816088</c:v>
                </c:pt>
                <c:pt idx="8">
                  <c:v>116562.03308062688</c:v>
                </c:pt>
                <c:pt idx="9">
                  <c:v>129102.8051081569</c:v>
                </c:pt>
                <c:pt idx="10">
                  <c:v>140743.57713568694</c:v>
                </c:pt>
                <c:pt idx="11">
                  <c:v>152384.34916321695</c:v>
                </c:pt>
                <c:pt idx="12">
                  <c:v>158180.40625986375</c:v>
                </c:pt>
                <c:pt idx="13">
                  <c:v>161739.0018474255</c:v>
                </c:pt>
                <c:pt idx="14">
                  <c:v>165297.59743498726</c:v>
                </c:pt>
                <c:pt idx="15">
                  <c:v>168856.19302254898</c:v>
                </c:pt>
                <c:pt idx="16">
                  <c:v>172275.50289582502</c:v>
                </c:pt>
                <c:pt idx="17">
                  <c:v>175885.21019724134</c:v>
                </c:pt>
                <c:pt idx="18">
                  <c:v>179494.91749865771</c:v>
                </c:pt>
                <c:pt idx="19">
                  <c:v>183104.62480007412</c:v>
                </c:pt>
                <c:pt idx="20">
                  <c:v>186714.33210149044</c:v>
                </c:pt>
                <c:pt idx="21">
                  <c:v>190324.03940290678</c:v>
                </c:pt>
                <c:pt idx="22">
                  <c:v>193933.74670432316</c:v>
                </c:pt>
                <c:pt idx="23">
                  <c:v>198632.73972002522</c:v>
                </c:pt>
                <c:pt idx="24">
                  <c:v>203331.73273572727</c:v>
                </c:pt>
                <c:pt idx="25">
                  <c:v>208030.72575142936</c:v>
                </c:pt>
                <c:pt idx="26">
                  <c:v>212729.71876713139</c:v>
                </c:pt>
                <c:pt idx="27">
                  <c:v>216181.35886546725</c:v>
                </c:pt>
                <c:pt idx="28">
                  <c:v>219632.99896380305</c:v>
                </c:pt>
                <c:pt idx="29">
                  <c:v>223084.63906213883</c:v>
                </c:pt>
                <c:pt idx="30">
                  <c:v>226536.27916047466</c:v>
                </c:pt>
                <c:pt idx="31">
                  <c:v>229987.91925881046</c:v>
                </c:pt>
                <c:pt idx="32">
                  <c:v>233439.55935714627</c:v>
                </c:pt>
                <c:pt idx="33">
                  <c:v>236891.19945548207</c:v>
                </c:pt>
                <c:pt idx="34">
                  <c:v>240342.83955381787</c:v>
                </c:pt>
                <c:pt idx="35">
                  <c:v>243794.47965215368</c:v>
                </c:pt>
                <c:pt idx="36">
                  <c:v>247246.11975048948</c:v>
                </c:pt>
                <c:pt idx="37">
                  <c:v>248658.02749635704</c:v>
                </c:pt>
                <c:pt idx="38">
                  <c:v>250069.9352422246</c:v>
                </c:pt>
                <c:pt idx="39">
                  <c:v>251481.84298809216</c:v>
                </c:pt>
                <c:pt idx="40">
                  <c:v>252893.75073395972</c:v>
                </c:pt>
                <c:pt idx="41">
                  <c:v>254305.65847982728</c:v>
                </c:pt>
                <c:pt idx="42">
                  <c:v>255145.0539812817</c:v>
                </c:pt>
                <c:pt idx="43">
                  <c:v>255984.44948273606</c:v>
                </c:pt>
                <c:pt idx="44">
                  <c:v>256823.84498419042</c:v>
                </c:pt>
                <c:pt idx="45">
                  <c:v>257663.24048564484</c:v>
                </c:pt>
                <c:pt idx="46">
                  <c:v>258502.6359870992</c:v>
                </c:pt>
                <c:pt idx="47">
                  <c:v>261798.03574968886</c:v>
                </c:pt>
                <c:pt idx="48">
                  <c:v>265093.43551227846</c:v>
                </c:pt>
                <c:pt idx="49">
                  <c:v>268388.83527486806</c:v>
                </c:pt>
                <c:pt idx="50">
                  <c:v>271684.23503745772</c:v>
                </c:pt>
                <c:pt idx="51">
                  <c:v>274979.63480004738</c:v>
                </c:pt>
                <c:pt idx="52">
                  <c:v>278275.03456263698</c:v>
                </c:pt>
                <c:pt idx="53">
                  <c:v>281570.43432522658</c:v>
                </c:pt>
                <c:pt idx="54">
                  <c:v>284865.83408781618</c:v>
                </c:pt>
                <c:pt idx="55">
                  <c:v>288161.23385040578</c:v>
                </c:pt>
                <c:pt idx="56">
                  <c:v>291456.63361299539</c:v>
                </c:pt>
                <c:pt idx="57">
                  <c:v>293475.55237003032</c:v>
                </c:pt>
                <c:pt idx="58">
                  <c:v>295494.47112706519</c:v>
                </c:pt>
                <c:pt idx="59">
                  <c:v>297513.38988410006</c:v>
                </c:pt>
                <c:pt idx="60">
                  <c:v>299532.30864113499</c:v>
                </c:pt>
                <c:pt idx="61">
                  <c:v>301551.22739816987</c:v>
                </c:pt>
                <c:pt idx="62">
                  <c:v>303570.14615520474</c:v>
                </c:pt>
                <c:pt idx="63">
                  <c:v>305589.06491223967</c:v>
                </c:pt>
                <c:pt idx="64">
                  <c:v>307607.98366927454</c:v>
                </c:pt>
                <c:pt idx="65">
                  <c:v>309626.90242630948</c:v>
                </c:pt>
                <c:pt idx="66">
                  <c:v>311645.82118334435</c:v>
                </c:pt>
              </c:numCache>
            </c:numRef>
          </c:yVal>
          <c:smooth val="0"/>
          <c:extLst>
            <c:ext xmlns:c16="http://schemas.microsoft.com/office/drawing/2014/chart" uri="{C3380CC4-5D6E-409C-BE32-E72D297353CC}">
              <c16:uniqueId val="{00000000-EFB7-4389-8FF1-94A31FC70C4F}"/>
            </c:ext>
          </c:extLst>
        </c:ser>
        <c:dLbls>
          <c:showLegendKey val="0"/>
          <c:showVal val="0"/>
          <c:showCatName val="0"/>
          <c:showSerName val="0"/>
          <c:showPercent val="0"/>
          <c:showBubbleSize val="0"/>
        </c:dLbls>
        <c:axId val="1116958799"/>
        <c:axId val="1116936335"/>
      </c:scatterChart>
      <c:valAx>
        <c:axId val="1116958799"/>
        <c:scaling>
          <c:orientation val="minMax"/>
          <c:max val="3"/>
          <c:min val="-0.5"/>
        </c:scaling>
        <c:delete val="0"/>
        <c:axPos val="b"/>
        <c:majorGridlines>
          <c:spPr>
            <a:ln w="9525" cap="flat" cmpd="sng" algn="ctr">
              <a:solidFill>
                <a:schemeClr val="tx1">
                  <a:lumMod val="15000"/>
                  <a:lumOff val="85000"/>
                </a:schemeClr>
              </a:solidFill>
              <a:round/>
            </a:ln>
            <a:effectLst/>
          </c:spPr>
        </c:majorGridlines>
        <c:title>
          <c:tx>
            <c:strRef>
              <c:f>'Damage Curves - Total'!$C$30</c:f>
              <c:strCache>
                <c:ptCount val="1"/>
                <c:pt idx="0">
                  <c:v>Level (m)</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6936335"/>
        <c:crosses val="autoZero"/>
        <c:crossBetween val="midCat"/>
      </c:valAx>
      <c:valAx>
        <c:axId val="11169363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Damage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6958799"/>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'Damage Curves - Total'!$S$5</c:f>
              <c:strCache>
                <c:ptCount val="1"/>
                <c:pt idx="0">
                  <c:v>Residential Double Storey - Average</c:v>
                </c:pt>
              </c:strCache>
            </c:strRef>
          </c:tx>
          <c:spPr>
            <a:ln w="19050" cap="rnd">
              <a:solidFill>
                <a:schemeClr val="accent1"/>
              </a:solidFill>
              <a:round/>
            </a:ln>
            <a:effectLst/>
          </c:spPr>
          <c:marker>
            <c:symbol val="none"/>
          </c:marker>
          <c:xVal>
            <c:numRef>
              <c:f>'Damage Curves - Total'!$M$31:$M$157</c:f>
              <c:numCache>
                <c:formatCode>0.00</c:formatCode>
                <c:ptCount val="12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pt idx="67">
                  <c:v>3.05</c:v>
                </c:pt>
                <c:pt idx="68">
                  <c:v>3.1</c:v>
                </c:pt>
                <c:pt idx="69">
                  <c:v>3.15</c:v>
                </c:pt>
                <c:pt idx="70">
                  <c:v>3.2</c:v>
                </c:pt>
                <c:pt idx="71">
                  <c:v>3.25</c:v>
                </c:pt>
                <c:pt idx="72">
                  <c:v>3.3</c:v>
                </c:pt>
                <c:pt idx="73">
                  <c:v>3.35</c:v>
                </c:pt>
                <c:pt idx="74">
                  <c:v>3.4</c:v>
                </c:pt>
                <c:pt idx="75">
                  <c:v>3.45</c:v>
                </c:pt>
                <c:pt idx="76">
                  <c:v>3.5</c:v>
                </c:pt>
                <c:pt idx="77">
                  <c:v>3.55</c:v>
                </c:pt>
                <c:pt idx="78">
                  <c:v>3.6</c:v>
                </c:pt>
                <c:pt idx="79">
                  <c:v>3.65</c:v>
                </c:pt>
                <c:pt idx="80">
                  <c:v>3.7</c:v>
                </c:pt>
                <c:pt idx="81">
                  <c:v>3.75</c:v>
                </c:pt>
                <c:pt idx="82">
                  <c:v>3.8</c:v>
                </c:pt>
                <c:pt idx="83">
                  <c:v>3.85</c:v>
                </c:pt>
                <c:pt idx="84">
                  <c:v>3.9</c:v>
                </c:pt>
                <c:pt idx="85">
                  <c:v>3.95</c:v>
                </c:pt>
                <c:pt idx="86">
                  <c:v>4</c:v>
                </c:pt>
                <c:pt idx="87">
                  <c:v>4.05</c:v>
                </c:pt>
                <c:pt idx="88">
                  <c:v>4.0999999999999996</c:v>
                </c:pt>
                <c:pt idx="89">
                  <c:v>4.1500000000000004</c:v>
                </c:pt>
                <c:pt idx="90">
                  <c:v>4.2</c:v>
                </c:pt>
                <c:pt idx="91">
                  <c:v>4.25</c:v>
                </c:pt>
                <c:pt idx="92">
                  <c:v>4.3</c:v>
                </c:pt>
                <c:pt idx="93">
                  <c:v>4.3499999999999996</c:v>
                </c:pt>
                <c:pt idx="94">
                  <c:v>4.4000000000000004</c:v>
                </c:pt>
                <c:pt idx="95">
                  <c:v>4.45</c:v>
                </c:pt>
                <c:pt idx="96">
                  <c:v>4.5</c:v>
                </c:pt>
                <c:pt idx="97">
                  <c:v>4.55</c:v>
                </c:pt>
                <c:pt idx="98">
                  <c:v>4.5999999999999996</c:v>
                </c:pt>
                <c:pt idx="99">
                  <c:v>4.6500000000000004</c:v>
                </c:pt>
                <c:pt idx="100">
                  <c:v>4.7</c:v>
                </c:pt>
                <c:pt idx="101">
                  <c:v>4.75</c:v>
                </c:pt>
                <c:pt idx="102">
                  <c:v>4.8</c:v>
                </c:pt>
                <c:pt idx="103">
                  <c:v>4.8499999999999996</c:v>
                </c:pt>
                <c:pt idx="104">
                  <c:v>4.9000000000000004</c:v>
                </c:pt>
                <c:pt idx="105">
                  <c:v>4.95</c:v>
                </c:pt>
                <c:pt idx="106">
                  <c:v>5</c:v>
                </c:pt>
                <c:pt idx="107">
                  <c:v>5.05</c:v>
                </c:pt>
                <c:pt idx="108">
                  <c:v>5.0999999999999996</c:v>
                </c:pt>
                <c:pt idx="109">
                  <c:v>5.15</c:v>
                </c:pt>
                <c:pt idx="110">
                  <c:v>5.2</c:v>
                </c:pt>
                <c:pt idx="111">
                  <c:v>5.25</c:v>
                </c:pt>
                <c:pt idx="112">
                  <c:v>5.3</c:v>
                </c:pt>
                <c:pt idx="113">
                  <c:v>5.35</c:v>
                </c:pt>
                <c:pt idx="114">
                  <c:v>5.4</c:v>
                </c:pt>
                <c:pt idx="115">
                  <c:v>5.45</c:v>
                </c:pt>
                <c:pt idx="116">
                  <c:v>5.5</c:v>
                </c:pt>
                <c:pt idx="117">
                  <c:v>5.55</c:v>
                </c:pt>
                <c:pt idx="118">
                  <c:v>5.6</c:v>
                </c:pt>
                <c:pt idx="119">
                  <c:v>5.65</c:v>
                </c:pt>
                <c:pt idx="120">
                  <c:v>5.7</c:v>
                </c:pt>
                <c:pt idx="121">
                  <c:v>5.75</c:v>
                </c:pt>
                <c:pt idx="122">
                  <c:v>5.8</c:v>
                </c:pt>
                <c:pt idx="123">
                  <c:v>5.85</c:v>
                </c:pt>
                <c:pt idx="124">
                  <c:v>5.9</c:v>
                </c:pt>
                <c:pt idx="125">
                  <c:v>5.95</c:v>
                </c:pt>
                <c:pt idx="126">
                  <c:v>6</c:v>
                </c:pt>
              </c:numCache>
            </c:numRef>
          </c:xVal>
          <c:yVal>
            <c:numRef>
              <c:f>'Damage Curves - Total'!$S$31:$S$157</c:f>
              <c:numCache>
                <c:formatCode>"$"#,##0</c:formatCode>
                <c:ptCount val="127"/>
                <c:pt idx="0">
                  <c:v>0</c:v>
                </c:pt>
                <c:pt idx="1">
                  <c:v>629.61126185881972</c:v>
                </c:pt>
                <c:pt idx="2">
                  <c:v>1259.2225237176394</c:v>
                </c:pt>
                <c:pt idx="3">
                  <c:v>1888.8337855764596</c:v>
                </c:pt>
                <c:pt idx="4">
                  <c:v>2518.4450474352789</c:v>
                </c:pt>
                <c:pt idx="5">
                  <c:v>3148.0563092940993</c:v>
                </c:pt>
                <c:pt idx="6">
                  <c:v>3777.6675711529192</c:v>
                </c:pt>
                <c:pt idx="7">
                  <c:v>36938.504337141749</c:v>
                </c:pt>
                <c:pt idx="8">
                  <c:v>65099.34110313058</c:v>
                </c:pt>
                <c:pt idx="9">
                  <c:v>71366.877172665001</c:v>
                </c:pt>
                <c:pt idx="10">
                  <c:v>76734.4132421994</c:v>
                </c:pt>
                <c:pt idx="11">
                  <c:v>82101.949311733813</c:v>
                </c:pt>
                <c:pt idx="12">
                  <c:v>85626.019261499416</c:v>
                </c:pt>
                <c:pt idx="13">
                  <c:v>87919.485381268227</c:v>
                </c:pt>
                <c:pt idx="14">
                  <c:v>90212.951501037052</c:v>
                </c:pt>
                <c:pt idx="15">
                  <c:v>92506.417620805849</c:v>
                </c:pt>
                <c:pt idx="16">
                  <c:v>94660.59802628895</c:v>
                </c:pt>
                <c:pt idx="17">
                  <c:v>96345.681858863056</c:v>
                </c:pt>
                <c:pt idx="18">
                  <c:v>98030.765691437147</c:v>
                </c:pt>
                <c:pt idx="19">
                  <c:v>99715.849524011224</c:v>
                </c:pt>
                <c:pt idx="20">
                  <c:v>101400.93335658533</c:v>
                </c:pt>
                <c:pt idx="21">
                  <c:v>103086.01718915942</c:v>
                </c:pt>
                <c:pt idx="22">
                  <c:v>104771.10102173351</c:v>
                </c:pt>
                <c:pt idx="23">
                  <c:v>107545.4705685933</c:v>
                </c:pt>
                <c:pt idx="24">
                  <c:v>110319.84011545312</c:v>
                </c:pt>
                <c:pt idx="25">
                  <c:v>113094.20966231293</c:v>
                </c:pt>
                <c:pt idx="26">
                  <c:v>115868.57920917273</c:v>
                </c:pt>
                <c:pt idx="27">
                  <c:v>117529.67983045593</c:v>
                </c:pt>
                <c:pt idx="28">
                  <c:v>119190.78045173915</c:v>
                </c:pt>
                <c:pt idx="29">
                  <c:v>120851.88107302233</c:v>
                </c:pt>
                <c:pt idx="30">
                  <c:v>122512.98169430555</c:v>
                </c:pt>
                <c:pt idx="31">
                  <c:v>124174.08231558875</c:v>
                </c:pt>
                <c:pt idx="32">
                  <c:v>125835.18293687196</c:v>
                </c:pt>
                <c:pt idx="33">
                  <c:v>127496.28355815516</c:v>
                </c:pt>
                <c:pt idx="34">
                  <c:v>129157.38417943838</c:v>
                </c:pt>
                <c:pt idx="35">
                  <c:v>130818.48480072158</c:v>
                </c:pt>
                <c:pt idx="36">
                  <c:v>132479.58542200481</c:v>
                </c:pt>
                <c:pt idx="37">
                  <c:v>133018.83324943046</c:v>
                </c:pt>
                <c:pt idx="38">
                  <c:v>133558.08107685612</c:v>
                </c:pt>
                <c:pt idx="39">
                  <c:v>134097.32890428181</c:v>
                </c:pt>
                <c:pt idx="40">
                  <c:v>134636.57673170749</c:v>
                </c:pt>
                <c:pt idx="41">
                  <c:v>135175.82455913315</c:v>
                </c:pt>
                <c:pt idx="42">
                  <c:v>135715.07238655881</c:v>
                </c:pt>
                <c:pt idx="43">
                  <c:v>136254.32021398449</c:v>
                </c:pt>
                <c:pt idx="44">
                  <c:v>136793.56804141015</c:v>
                </c:pt>
                <c:pt idx="45">
                  <c:v>137332.81586883584</c:v>
                </c:pt>
                <c:pt idx="46">
                  <c:v>137872.0636962615</c:v>
                </c:pt>
                <c:pt idx="47">
                  <c:v>139652.75463843549</c:v>
                </c:pt>
                <c:pt idx="48">
                  <c:v>141433.44558060949</c:v>
                </c:pt>
                <c:pt idx="49">
                  <c:v>143214.13652278349</c:v>
                </c:pt>
                <c:pt idx="50">
                  <c:v>144994.82746495752</c:v>
                </c:pt>
                <c:pt idx="51">
                  <c:v>146775.51840713152</c:v>
                </c:pt>
                <c:pt idx="52">
                  <c:v>148774.9278070576</c:v>
                </c:pt>
                <c:pt idx="53">
                  <c:v>150774.33720698371</c:v>
                </c:pt>
                <c:pt idx="54">
                  <c:v>152773.74660690979</c:v>
                </c:pt>
                <c:pt idx="55">
                  <c:v>154773.1560068359</c:v>
                </c:pt>
                <c:pt idx="56">
                  <c:v>156772.56540676198</c:v>
                </c:pt>
                <c:pt idx="57">
                  <c:v>158867.20378301558</c:v>
                </c:pt>
                <c:pt idx="58">
                  <c:v>160961.84215926917</c:v>
                </c:pt>
                <c:pt idx="59">
                  <c:v>163056.48053552277</c:v>
                </c:pt>
                <c:pt idx="60">
                  <c:v>165151.1189117764</c:v>
                </c:pt>
                <c:pt idx="61">
                  <c:v>178440.00269859971</c:v>
                </c:pt>
                <c:pt idx="62">
                  <c:v>192385.04185867927</c:v>
                </c:pt>
                <c:pt idx="63">
                  <c:v>206330.08101875897</c:v>
                </c:pt>
                <c:pt idx="64">
                  <c:v>220275.12017883855</c:v>
                </c:pt>
                <c:pt idx="65">
                  <c:v>234220.15933891828</c:v>
                </c:pt>
                <c:pt idx="66">
                  <c:v>248165.19849899787</c:v>
                </c:pt>
                <c:pt idx="67">
                  <c:v>253263.00224661059</c:v>
                </c:pt>
                <c:pt idx="68">
                  <c:v>258360.80599422337</c:v>
                </c:pt>
                <c:pt idx="69">
                  <c:v>263458.60974183615</c:v>
                </c:pt>
                <c:pt idx="70">
                  <c:v>268556.4134894489</c:v>
                </c:pt>
                <c:pt idx="71">
                  <c:v>273654.21723706165</c:v>
                </c:pt>
                <c:pt idx="72">
                  <c:v>277439.71023816185</c:v>
                </c:pt>
                <c:pt idx="73">
                  <c:v>281225.2032392621</c:v>
                </c:pt>
                <c:pt idx="74">
                  <c:v>285010.6962403623</c:v>
                </c:pt>
                <c:pt idx="75">
                  <c:v>288796.18924146256</c:v>
                </c:pt>
                <c:pt idx="76">
                  <c:v>292581.6822425627</c:v>
                </c:pt>
                <c:pt idx="77">
                  <c:v>295711.01987040666</c:v>
                </c:pt>
                <c:pt idx="78">
                  <c:v>298840.35749825061</c:v>
                </c:pt>
                <c:pt idx="79">
                  <c:v>301969.69512609456</c:v>
                </c:pt>
                <c:pt idx="80">
                  <c:v>305099.03275393852</c:v>
                </c:pt>
                <c:pt idx="81">
                  <c:v>308228.37038178241</c:v>
                </c:pt>
                <c:pt idx="82">
                  <c:v>310920.2710941222</c:v>
                </c:pt>
                <c:pt idx="83">
                  <c:v>313612.17180646199</c:v>
                </c:pt>
                <c:pt idx="84">
                  <c:v>316304.07251880172</c:v>
                </c:pt>
                <c:pt idx="85">
                  <c:v>318995.97323114146</c:v>
                </c:pt>
                <c:pt idx="86">
                  <c:v>321687.87394348125</c:v>
                </c:pt>
                <c:pt idx="87">
                  <c:v>322015.95163010934</c:v>
                </c:pt>
                <c:pt idx="88">
                  <c:v>322344.02931673749</c:v>
                </c:pt>
                <c:pt idx="89">
                  <c:v>322672.10700336564</c:v>
                </c:pt>
                <c:pt idx="90">
                  <c:v>323000.18468999374</c:v>
                </c:pt>
                <c:pt idx="91">
                  <c:v>323328.26237662195</c:v>
                </c:pt>
                <c:pt idx="92">
                  <c:v>323546.98083437403</c:v>
                </c:pt>
                <c:pt idx="93">
                  <c:v>323765.69929212611</c:v>
                </c:pt>
                <c:pt idx="94">
                  <c:v>323984.41774987819</c:v>
                </c:pt>
                <c:pt idx="95">
                  <c:v>324203.13620763028</c:v>
                </c:pt>
                <c:pt idx="96">
                  <c:v>324421.85466538236</c:v>
                </c:pt>
                <c:pt idx="97">
                  <c:v>324749.93235201051</c:v>
                </c:pt>
                <c:pt idx="98">
                  <c:v>325078.01003863866</c:v>
                </c:pt>
                <c:pt idx="99">
                  <c:v>325406.08772526681</c:v>
                </c:pt>
                <c:pt idx="100">
                  <c:v>325734.16541189491</c:v>
                </c:pt>
                <c:pt idx="101">
                  <c:v>326062.24309852306</c:v>
                </c:pt>
                <c:pt idx="102">
                  <c:v>326280.96155627514</c:v>
                </c:pt>
                <c:pt idx="103">
                  <c:v>326499.68001402722</c:v>
                </c:pt>
                <c:pt idx="104">
                  <c:v>326718.39847177931</c:v>
                </c:pt>
                <c:pt idx="105">
                  <c:v>326937.11692953145</c:v>
                </c:pt>
                <c:pt idx="106">
                  <c:v>327155.83538728353</c:v>
                </c:pt>
                <c:pt idx="107">
                  <c:v>327265.19461615954</c:v>
                </c:pt>
                <c:pt idx="108">
                  <c:v>327374.55384503561</c:v>
                </c:pt>
                <c:pt idx="109">
                  <c:v>327483.91307391162</c:v>
                </c:pt>
                <c:pt idx="110">
                  <c:v>327593.27230278769</c:v>
                </c:pt>
                <c:pt idx="111">
                  <c:v>327702.6315316637</c:v>
                </c:pt>
                <c:pt idx="112">
                  <c:v>327811.99076053977</c:v>
                </c:pt>
                <c:pt idx="113">
                  <c:v>327921.34998941584</c:v>
                </c:pt>
                <c:pt idx="114">
                  <c:v>328030.70921829186</c:v>
                </c:pt>
                <c:pt idx="115">
                  <c:v>328140.06844716787</c:v>
                </c:pt>
                <c:pt idx="116">
                  <c:v>328249.42767604394</c:v>
                </c:pt>
                <c:pt idx="117">
                  <c:v>328304.10729048197</c:v>
                </c:pt>
                <c:pt idx="118">
                  <c:v>328358.78690492001</c:v>
                </c:pt>
                <c:pt idx="119">
                  <c:v>328413.46651935804</c:v>
                </c:pt>
                <c:pt idx="120">
                  <c:v>328468.14613379608</c:v>
                </c:pt>
                <c:pt idx="121">
                  <c:v>328522.82574823406</c:v>
                </c:pt>
                <c:pt idx="122">
                  <c:v>328577.50536267209</c:v>
                </c:pt>
                <c:pt idx="123">
                  <c:v>328632.18497711013</c:v>
                </c:pt>
                <c:pt idx="124">
                  <c:v>328686.8645915481</c:v>
                </c:pt>
                <c:pt idx="125">
                  <c:v>328741.5442059862</c:v>
                </c:pt>
                <c:pt idx="126">
                  <c:v>328796.22382042417</c:v>
                </c:pt>
              </c:numCache>
            </c:numRef>
          </c:yVal>
          <c:smooth val="0"/>
          <c:extLst>
            <c:ext xmlns:c16="http://schemas.microsoft.com/office/drawing/2014/chart" uri="{C3380CC4-5D6E-409C-BE32-E72D297353CC}">
              <c16:uniqueId val="{00000000-FC5D-45C7-84A6-9A5EAB178E4A}"/>
            </c:ext>
          </c:extLst>
        </c:ser>
        <c:dLbls>
          <c:showLegendKey val="0"/>
          <c:showVal val="0"/>
          <c:showCatName val="0"/>
          <c:showSerName val="0"/>
          <c:showPercent val="0"/>
          <c:showBubbleSize val="0"/>
        </c:dLbls>
        <c:axId val="1116958799"/>
        <c:axId val="1116936335"/>
      </c:scatterChart>
      <c:valAx>
        <c:axId val="1116958799"/>
        <c:scaling>
          <c:orientation val="minMax"/>
          <c:max val="6"/>
          <c:min val="-0.5"/>
        </c:scaling>
        <c:delete val="0"/>
        <c:axPos val="b"/>
        <c:majorGridlines>
          <c:spPr>
            <a:ln w="9525" cap="flat" cmpd="sng" algn="ctr">
              <a:solidFill>
                <a:schemeClr val="tx1">
                  <a:lumMod val="15000"/>
                  <a:lumOff val="85000"/>
                </a:schemeClr>
              </a:solidFill>
              <a:round/>
            </a:ln>
            <a:effectLst/>
          </c:spPr>
        </c:majorGridlines>
        <c:title>
          <c:tx>
            <c:strRef>
              <c:f>'Damage Curves - Total'!$M$30</c:f>
              <c:strCache>
                <c:ptCount val="1"/>
                <c:pt idx="0">
                  <c:v>Level (m)</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6936335"/>
        <c:crosses val="autoZero"/>
        <c:crossBetween val="midCat"/>
        <c:majorUnit val="0.5"/>
      </c:valAx>
      <c:valAx>
        <c:axId val="11169363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Damage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6958799"/>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'Damage Curves - Total'!$AC$6</c:f>
              <c:strCache>
                <c:ptCount val="1"/>
                <c:pt idx="0">
                  <c:v>Commercial Property - Average</c:v>
                </c:pt>
              </c:strCache>
            </c:strRef>
          </c:tx>
          <c:spPr>
            <a:ln w="19050" cap="rnd">
              <a:solidFill>
                <a:schemeClr val="accent1"/>
              </a:solidFill>
              <a:round/>
            </a:ln>
            <a:effectLst/>
          </c:spPr>
          <c:marker>
            <c:symbol val="none"/>
          </c:marker>
          <c:xVal>
            <c:numRef>
              <c:f>'Damage Curves - Total'!$Y$31:$Y$117</c:f>
              <c:numCache>
                <c:formatCode>0.00</c:formatCode>
                <c:ptCount val="8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pt idx="67">
                  <c:v>3.05</c:v>
                </c:pt>
                <c:pt idx="68">
                  <c:v>3.1</c:v>
                </c:pt>
                <c:pt idx="69">
                  <c:v>3.15</c:v>
                </c:pt>
                <c:pt idx="70">
                  <c:v>3.2</c:v>
                </c:pt>
                <c:pt idx="71">
                  <c:v>3.25</c:v>
                </c:pt>
                <c:pt idx="72">
                  <c:v>3.3</c:v>
                </c:pt>
                <c:pt idx="73">
                  <c:v>3.35</c:v>
                </c:pt>
                <c:pt idx="74">
                  <c:v>3.4</c:v>
                </c:pt>
                <c:pt idx="75">
                  <c:v>3.45</c:v>
                </c:pt>
                <c:pt idx="76">
                  <c:v>3.5</c:v>
                </c:pt>
                <c:pt idx="77">
                  <c:v>3.55</c:v>
                </c:pt>
                <c:pt idx="78">
                  <c:v>3.6</c:v>
                </c:pt>
                <c:pt idx="79">
                  <c:v>3.65</c:v>
                </c:pt>
                <c:pt idx="80">
                  <c:v>3.7</c:v>
                </c:pt>
                <c:pt idx="81">
                  <c:v>3.75</c:v>
                </c:pt>
                <c:pt idx="82">
                  <c:v>3.8</c:v>
                </c:pt>
                <c:pt idx="83">
                  <c:v>3.85</c:v>
                </c:pt>
                <c:pt idx="84">
                  <c:v>3.9</c:v>
                </c:pt>
                <c:pt idx="85">
                  <c:v>3.95</c:v>
                </c:pt>
                <c:pt idx="86">
                  <c:v>4</c:v>
                </c:pt>
              </c:numCache>
            </c:numRef>
          </c:xVal>
          <c:yVal>
            <c:numRef>
              <c:f>'Damage Curves - Total'!$AB$31:$AB$117</c:f>
              <c:numCache>
                <c:formatCode>"$"#,##0</c:formatCode>
                <c:ptCount val="87"/>
                <c:pt idx="0">
                  <c:v>0</c:v>
                </c:pt>
                <c:pt idx="1">
                  <c:v>0</c:v>
                </c:pt>
                <c:pt idx="2">
                  <c:v>0</c:v>
                </c:pt>
                <c:pt idx="3">
                  <c:v>0</c:v>
                </c:pt>
                <c:pt idx="4">
                  <c:v>0</c:v>
                </c:pt>
                <c:pt idx="5">
                  <c:v>0</c:v>
                </c:pt>
                <c:pt idx="6">
                  <c:v>0</c:v>
                </c:pt>
                <c:pt idx="7">
                  <c:v>94.370593897989295</c:v>
                </c:pt>
                <c:pt idx="8">
                  <c:v>188.74118779597859</c:v>
                </c:pt>
                <c:pt idx="9">
                  <c:v>283.11178169396794</c:v>
                </c:pt>
                <c:pt idx="10">
                  <c:v>377.48237559195718</c:v>
                </c:pt>
                <c:pt idx="11">
                  <c:v>471.85296948994653</c:v>
                </c:pt>
                <c:pt idx="12">
                  <c:v>511.44448412390341</c:v>
                </c:pt>
                <c:pt idx="13">
                  <c:v>551.03599875786051</c:v>
                </c:pt>
                <c:pt idx="14">
                  <c:v>590.6275133918175</c:v>
                </c:pt>
                <c:pt idx="15">
                  <c:v>630.21902802577449</c:v>
                </c:pt>
                <c:pt idx="16">
                  <c:v>669.81054265973148</c:v>
                </c:pt>
                <c:pt idx="17">
                  <c:v>709.40205729368859</c:v>
                </c:pt>
                <c:pt idx="18">
                  <c:v>748.99357192764535</c:v>
                </c:pt>
                <c:pt idx="19">
                  <c:v>788.58508656160234</c:v>
                </c:pt>
                <c:pt idx="20">
                  <c:v>828.17660119555944</c:v>
                </c:pt>
                <c:pt idx="21">
                  <c:v>867.76811582951643</c:v>
                </c:pt>
                <c:pt idx="22">
                  <c:v>911.44859017157069</c:v>
                </c:pt>
                <c:pt idx="23">
                  <c:v>955.12906451362494</c:v>
                </c:pt>
                <c:pt idx="24">
                  <c:v>998.80953885567919</c:v>
                </c:pt>
                <c:pt idx="25">
                  <c:v>1042.4900131977333</c:v>
                </c:pt>
                <c:pt idx="26">
                  <c:v>1086.1704875397875</c:v>
                </c:pt>
                <c:pt idx="27">
                  <c:v>1129.8509618818416</c:v>
                </c:pt>
                <c:pt idx="28">
                  <c:v>1173.531436223896</c:v>
                </c:pt>
                <c:pt idx="29">
                  <c:v>1217.2119105659499</c:v>
                </c:pt>
                <c:pt idx="30">
                  <c:v>1260.8923849080043</c:v>
                </c:pt>
                <c:pt idx="31">
                  <c:v>1304.5728592500584</c:v>
                </c:pt>
                <c:pt idx="32">
                  <c:v>1320.5176386408923</c:v>
                </c:pt>
                <c:pt idx="33">
                  <c:v>1336.4624180317264</c:v>
                </c:pt>
                <c:pt idx="34">
                  <c:v>1352.4071974225603</c:v>
                </c:pt>
                <c:pt idx="35">
                  <c:v>1368.3519768133945</c:v>
                </c:pt>
                <c:pt idx="36">
                  <c:v>1384.2967562042284</c:v>
                </c:pt>
                <c:pt idx="37">
                  <c:v>1400.2415355950625</c:v>
                </c:pt>
                <c:pt idx="38">
                  <c:v>1416.1863149858966</c:v>
                </c:pt>
                <c:pt idx="39">
                  <c:v>1432.1310943767307</c:v>
                </c:pt>
                <c:pt idx="40">
                  <c:v>1448.0758737675649</c:v>
                </c:pt>
                <c:pt idx="41">
                  <c:v>1464.020653158399</c:v>
                </c:pt>
                <c:pt idx="42">
                  <c:v>1479.9654325492329</c:v>
                </c:pt>
                <c:pt idx="43">
                  <c:v>1495.9102119400668</c:v>
                </c:pt>
                <c:pt idx="44">
                  <c:v>1511.8549913309012</c:v>
                </c:pt>
                <c:pt idx="45">
                  <c:v>1527.7997707217351</c:v>
                </c:pt>
                <c:pt idx="46">
                  <c:v>1543.7445501125694</c:v>
                </c:pt>
                <c:pt idx="47">
                  <c:v>1547.3791809642112</c:v>
                </c:pt>
                <c:pt idx="48">
                  <c:v>1551.0138118158529</c:v>
                </c:pt>
                <c:pt idx="49">
                  <c:v>1554.6484426674949</c:v>
                </c:pt>
                <c:pt idx="50">
                  <c:v>1558.2830735191369</c:v>
                </c:pt>
                <c:pt idx="51">
                  <c:v>1561.9177043707789</c:v>
                </c:pt>
                <c:pt idx="52">
                  <c:v>1565.5523352224207</c:v>
                </c:pt>
                <c:pt idx="53">
                  <c:v>1569.1869660740626</c:v>
                </c:pt>
                <c:pt idx="54">
                  <c:v>1572.8215969257049</c:v>
                </c:pt>
                <c:pt idx="55">
                  <c:v>1576.4562277773468</c:v>
                </c:pt>
                <c:pt idx="56">
                  <c:v>1580.0908586289886</c:v>
                </c:pt>
                <c:pt idx="57">
                  <c:v>1583.7254894806306</c:v>
                </c:pt>
                <c:pt idx="58">
                  <c:v>1587.3601203322728</c:v>
                </c:pt>
                <c:pt idx="59">
                  <c:v>1590.9947511839146</c:v>
                </c:pt>
                <c:pt idx="60">
                  <c:v>1594.6293820355563</c:v>
                </c:pt>
                <c:pt idx="61">
                  <c:v>1598.2640128871983</c:v>
                </c:pt>
                <c:pt idx="62">
                  <c:v>1601.8986437388403</c:v>
                </c:pt>
                <c:pt idx="63">
                  <c:v>1605.5332745904823</c:v>
                </c:pt>
                <c:pt idx="64">
                  <c:v>1609.1679054421243</c:v>
                </c:pt>
                <c:pt idx="65">
                  <c:v>1612.8025362937663</c:v>
                </c:pt>
                <c:pt idx="66">
                  <c:v>1616.4371671454082</c:v>
                </c:pt>
                <c:pt idx="67">
                  <c:v>1620.0717979970502</c:v>
                </c:pt>
                <c:pt idx="68">
                  <c:v>1623.706428848692</c:v>
                </c:pt>
                <c:pt idx="69">
                  <c:v>1627.341059700334</c:v>
                </c:pt>
                <c:pt idx="70">
                  <c:v>1630.9756905519762</c:v>
                </c:pt>
                <c:pt idx="71">
                  <c:v>1634.6103214036179</c:v>
                </c:pt>
                <c:pt idx="72">
                  <c:v>1638.2449522552597</c:v>
                </c:pt>
                <c:pt idx="73">
                  <c:v>1641.8795831069017</c:v>
                </c:pt>
                <c:pt idx="74">
                  <c:v>1645.5142139585437</c:v>
                </c:pt>
                <c:pt idx="75">
                  <c:v>1649.1488448101857</c:v>
                </c:pt>
                <c:pt idx="76">
                  <c:v>1652.7834756618274</c:v>
                </c:pt>
                <c:pt idx="77">
                  <c:v>1656.4181065134694</c:v>
                </c:pt>
                <c:pt idx="78">
                  <c:v>1660.0527373651114</c:v>
                </c:pt>
                <c:pt idx="79">
                  <c:v>1663.6873682167536</c:v>
                </c:pt>
                <c:pt idx="80">
                  <c:v>1667.3219990683954</c:v>
                </c:pt>
                <c:pt idx="81">
                  <c:v>1670.9566299200374</c:v>
                </c:pt>
                <c:pt idx="82">
                  <c:v>1674.5911153922605</c:v>
                </c:pt>
                <c:pt idx="83">
                  <c:v>1678.2256008644836</c:v>
                </c:pt>
                <c:pt idx="84">
                  <c:v>1681.8600863367064</c:v>
                </c:pt>
                <c:pt idx="85">
                  <c:v>1685.4945718089298</c:v>
                </c:pt>
                <c:pt idx="86">
                  <c:v>1689.1290572811529</c:v>
                </c:pt>
              </c:numCache>
            </c:numRef>
          </c:yVal>
          <c:smooth val="0"/>
          <c:extLst>
            <c:ext xmlns:c16="http://schemas.microsoft.com/office/drawing/2014/chart" uri="{C3380CC4-5D6E-409C-BE32-E72D297353CC}">
              <c16:uniqueId val="{00000000-65A6-4EDB-8A7B-336446C1BC34}"/>
            </c:ext>
          </c:extLst>
        </c:ser>
        <c:dLbls>
          <c:showLegendKey val="0"/>
          <c:showVal val="0"/>
          <c:showCatName val="0"/>
          <c:showSerName val="0"/>
          <c:showPercent val="0"/>
          <c:showBubbleSize val="0"/>
        </c:dLbls>
        <c:axId val="1116958799"/>
        <c:axId val="1116936335"/>
      </c:scatterChart>
      <c:valAx>
        <c:axId val="1116958799"/>
        <c:scaling>
          <c:orientation val="minMax"/>
          <c:max val="4"/>
          <c:min val="-0.5"/>
        </c:scaling>
        <c:delete val="0"/>
        <c:axPos val="b"/>
        <c:majorGridlines>
          <c:spPr>
            <a:ln w="9525" cap="flat" cmpd="sng" algn="ctr">
              <a:solidFill>
                <a:schemeClr val="tx1">
                  <a:lumMod val="15000"/>
                  <a:lumOff val="85000"/>
                </a:schemeClr>
              </a:solidFill>
              <a:round/>
            </a:ln>
            <a:effectLst/>
          </c:spPr>
        </c:majorGridlines>
        <c:title>
          <c:tx>
            <c:strRef>
              <c:f>'Damage Curves - Total'!$Y$30</c:f>
              <c:strCache>
                <c:ptCount val="1"/>
                <c:pt idx="0">
                  <c:v>Level (m)</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6936335"/>
        <c:crosses val="autoZero"/>
        <c:crossBetween val="midCat"/>
        <c:majorUnit val="0.5"/>
      </c:valAx>
      <c:valAx>
        <c:axId val="11169363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Damage ($/m</a:t>
                </a:r>
                <a:r>
                  <a:rPr lang="en-US" baseline="30000"/>
                  <a:t>2</a:t>
                </a: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6958799"/>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'Damage Curves - Res'!$I$5</c:f>
              <c:strCache>
                <c:ptCount val="1"/>
                <c:pt idx="0">
                  <c:v>Residential Single Storey - Structural</c:v>
                </c:pt>
              </c:strCache>
            </c:strRef>
          </c:tx>
          <c:spPr>
            <a:ln w="19050" cap="rnd">
              <a:solidFill>
                <a:schemeClr val="accent1"/>
              </a:solidFill>
              <a:round/>
            </a:ln>
            <a:effectLst/>
          </c:spPr>
          <c:marker>
            <c:symbol val="none"/>
          </c:marker>
          <c:xVal>
            <c:numRef>
              <c:f>'Damage Curves - Res'!$C$31:$C$97</c:f>
              <c:numCache>
                <c:formatCode>0.00</c:formatCode>
                <c:ptCount val="6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numCache>
            </c:numRef>
          </c:xVal>
          <c:yVal>
            <c:numRef>
              <c:f>'Damage Curves - Res'!$D$31:$D$97</c:f>
              <c:numCache>
                <c:formatCode>0.000</c:formatCode>
                <c:ptCount val="67"/>
                <c:pt idx="0">
                  <c:v>0</c:v>
                </c:pt>
                <c:pt idx="1">
                  <c:v>2.5208333333333328E-3</c:v>
                </c:pt>
                <c:pt idx="2">
                  <c:v>5.0416666666666657E-3</c:v>
                </c:pt>
                <c:pt idx="3">
                  <c:v>7.5624999999999998E-3</c:v>
                </c:pt>
                <c:pt idx="4">
                  <c:v>1.0083333333333333E-2</c:v>
                </c:pt>
                <c:pt idx="5">
                  <c:v>1.2604166666666668E-2</c:v>
                </c:pt>
                <c:pt idx="6">
                  <c:v>1.5125000000000001E-2</c:v>
                </c:pt>
                <c:pt idx="7">
                  <c:v>0.10770833333333335</c:v>
                </c:pt>
                <c:pt idx="8">
                  <c:v>0.2002916666666667</c:v>
                </c:pt>
                <c:pt idx="9">
                  <c:v>0.20521875000000003</c:v>
                </c:pt>
                <c:pt idx="10">
                  <c:v>0.21014583333333337</c:v>
                </c:pt>
                <c:pt idx="11">
                  <c:v>0.2150729166666667</c:v>
                </c:pt>
                <c:pt idx="12">
                  <c:v>0.22000000000000003</c:v>
                </c:pt>
                <c:pt idx="13">
                  <c:v>0.22000000000000003</c:v>
                </c:pt>
                <c:pt idx="14">
                  <c:v>0.22000000000000003</c:v>
                </c:pt>
                <c:pt idx="15">
                  <c:v>0.22000000000000003</c:v>
                </c:pt>
                <c:pt idx="16">
                  <c:v>0.22000000000000003</c:v>
                </c:pt>
                <c:pt idx="17">
                  <c:v>0.22206250000000002</c:v>
                </c:pt>
                <c:pt idx="18">
                  <c:v>0.22412500000000002</c:v>
                </c:pt>
                <c:pt idx="19">
                  <c:v>0.22618750000000004</c:v>
                </c:pt>
                <c:pt idx="20">
                  <c:v>0.22825000000000004</c:v>
                </c:pt>
                <c:pt idx="21">
                  <c:v>0.23031250000000003</c:v>
                </c:pt>
                <c:pt idx="22">
                  <c:v>0.23237500000000003</c:v>
                </c:pt>
                <c:pt idx="23">
                  <c:v>0.23443750000000002</c:v>
                </c:pt>
                <c:pt idx="24">
                  <c:v>0.23650000000000004</c:v>
                </c:pt>
                <c:pt idx="25">
                  <c:v>0.23856250000000004</c:v>
                </c:pt>
                <c:pt idx="26">
                  <c:v>0.24062500000000003</c:v>
                </c:pt>
                <c:pt idx="27">
                  <c:v>0.24640000000000004</c:v>
                </c:pt>
                <c:pt idx="28">
                  <c:v>0.25217500000000004</c:v>
                </c:pt>
                <c:pt idx="29">
                  <c:v>0.25795000000000001</c:v>
                </c:pt>
                <c:pt idx="30">
                  <c:v>0.26372500000000004</c:v>
                </c:pt>
                <c:pt idx="31">
                  <c:v>0.26950000000000007</c:v>
                </c:pt>
                <c:pt idx="32">
                  <c:v>0.27527500000000005</c:v>
                </c:pt>
                <c:pt idx="33">
                  <c:v>0.28105000000000008</c:v>
                </c:pt>
                <c:pt idx="34">
                  <c:v>0.28682500000000005</c:v>
                </c:pt>
                <c:pt idx="35">
                  <c:v>0.29260000000000003</c:v>
                </c:pt>
                <c:pt idx="36">
                  <c:v>0.29837500000000006</c:v>
                </c:pt>
                <c:pt idx="37">
                  <c:v>0.29965833333333342</c:v>
                </c:pt>
                <c:pt idx="38">
                  <c:v>0.30094166666666672</c:v>
                </c:pt>
                <c:pt idx="39">
                  <c:v>0.30222500000000002</c:v>
                </c:pt>
                <c:pt idx="40">
                  <c:v>0.30350833333333338</c:v>
                </c:pt>
                <c:pt idx="41">
                  <c:v>0.30479166666666668</c:v>
                </c:pt>
                <c:pt idx="42">
                  <c:v>0.30607500000000004</c:v>
                </c:pt>
                <c:pt idx="43">
                  <c:v>0.3073583333333334</c:v>
                </c:pt>
                <c:pt idx="44">
                  <c:v>0.3086416666666667</c:v>
                </c:pt>
                <c:pt idx="45">
                  <c:v>0.30992500000000001</c:v>
                </c:pt>
                <c:pt idx="46">
                  <c:v>0.31120833333333336</c:v>
                </c:pt>
                <c:pt idx="47">
                  <c:v>0.31790000000000002</c:v>
                </c:pt>
                <c:pt idx="48">
                  <c:v>0.32459166666666672</c:v>
                </c:pt>
                <c:pt idx="49">
                  <c:v>0.33128333333333337</c:v>
                </c:pt>
                <c:pt idx="50">
                  <c:v>0.33797500000000008</c:v>
                </c:pt>
                <c:pt idx="51">
                  <c:v>0.34466666666666668</c:v>
                </c:pt>
                <c:pt idx="52">
                  <c:v>0.35135833333333333</c:v>
                </c:pt>
                <c:pt idx="53">
                  <c:v>0.35805000000000003</c:v>
                </c:pt>
                <c:pt idx="54">
                  <c:v>0.36474166666666669</c:v>
                </c:pt>
                <c:pt idx="55">
                  <c:v>0.37143333333333339</c:v>
                </c:pt>
                <c:pt idx="56">
                  <c:v>0.37812500000000004</c:v>
                </c:pt>
                <c:pt idx="57">
                  <c:v>0.38257083333333336</c:v>
                </c:pt>
                <c:pt idx="58">
                  <c:v>0.38701666666666673</c:v>
                </c:pt>
                <c:pt idx="59">
                  <c:v>0.39146250000000005</c:v>
                </c:pt>
                <c:pt idx="60">
                  <c:v>0.39590833333333342</c:v>
                </c:pt>
                <c:pt idx="61">
                  <c:v>0.40035416666666673</c:v>
                </c:pt>
                <c:pt idx="62">
                  <c:v>0.40480000000000005</c:v>
                </c:pt>
                <c:pt idx="63">
                  <c:v>0.40924583333333342</c:v>
                </c:pt>
                <c:pt idx="64">
                  <c:v>0.41369166666666668</c:v>
                </c:pt>
                <c:pt idx="65">
                  <c:v>0.41813750000000005</c:v>
                </c:pt>
                <c:pt idx="66">
                  <c:v>0.42258333333333337</c:v>
                </c:pt>
              </c:numCache>
            </c:numRef>
          </c:yVal>
          <c:smooth val="0"/>
          <c:extLst>
            <c:ext xmlns:c16="http://schemas.microsoft.com/office/drawing/2014/chart" uri="{C3380CC4-5D6E-409C-BE32-E72D297353CC}">
              <c16:uniqueId val="{00000000-0A98-4983-9EDA-F7BCAF0B057D}"/>
            </c:ext>
          </c:extLst>
        </c:ser>
        <c:dLbls>
          <c:showLegendKey val="0"/>
          <c:showVal val="0"/>
          <c:showCatName val="0"/>
          <c:showSerName val="0"/>
          <c:showPercent val="0"/>
          <c:showBubbleSize val="0"/>
        </c:dLbls>
        <c:axId val="1116958799"/>
        <c:axId val="1116936335"/>
      </c:scatterChart>
      <c:valAx>
        <c:axId val="1116958799"/>
        <c:scaling>
          <c:orientation val="minMax"/>
          <c:max val="3"/>
        </c:scaling>
        <c:delete val="0"/>
        <c:axPos val="b"/>
        <c:majorGridlines>
          <c:spPr>
            <a:ln w="9525" cap="flat" cmpd="sng" algn="ctr">
              <a:solidFill>
                <a:schemeClr val="tx1">
                  <a:lumMod val="15000"/>
                  <a:lumOff val="85000"/>
                </a:schemeClr>
              </a:solidFill>
              <a:round/>
            </a:ln>
            <a:effectLst/>
          </c:spPr>
        </c:majorGridlines>
        <c:title>
          <c:tx>
            <c:strRef>
              <c:f>'Damage Curves - Res'!$C$30</c:f>
              <c:strCache>
                <c:ptCount val="1"/>
                <c:pt idx="0">
                  <c:v>Level (m)</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6936335"/>
        <c:crosses val="autoZero"/>
        <c:crossBetween val="midCat"/>
      </c:valAx>
      <c:valAx>
        <c:axId val="1116936335"/>
        <c:scaling>
          <c:orientation val="minMax"/>
          <c:max val="1"/>
        </c:scaling>
        <c:delete val="0"/>
        <c:axPos val="l"/>
        <c:majorGridlines>
          <c:spPr>
            <a:ln w="9525" cap="flat" cmpd="sng" algn="ctr">
              <a:solidFill>
                <a:schemeClr val="tx1">
                  <a:lumMod val="15000"/>
                  <a:lumOff val="85000"/>
                </a:schemeClr>
              </a:solidFill>
              <a:round/>
            </a:ln>
            <a:effectLst/>
          </c:spPr>
        </c:majorGridlines>
        <c:title>
          <c:tx>
            <c:strRef>
              <c:f>'Damage Curves - Res'!$D$30</c:f>
              <c:strCache>
                <c:ptCount val="1"/>
                <c:pt idx="0">
                  <c:v>Damage Index</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6958799"/>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'Damage Curves - Res'!$S$5</c:f>
              <c:strCache>
                <c:ptCount val="1"/>
                <c:pt idx="0">
                  <c:v>Residential Double Storey - Structural</c:v>
                </c:pt>
              </c:strCache>
            </c:strRef>
          </c:tx>
          <c:spPr>
            <a:ln w="19050" cap="rnd">
              <a:solidFill>
                <a:schemeClr val="accent1"/>
              </a:solidFill>
              <a:round/>
            </a:ln>
            <a:effectLst/>
          </c:spPr>
          <c:marker>
            <c:symbol val="none"/>
          </c:marker>
          <c:xVal>
            <c:numRef>
              <c:f>'Damage Curves - Res'!$M$31:$M$157</c:f>
              <c:numCache>
                <c:formatCode>0.00</c:formatCode>
                <c:ptCount val="12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pt idx="67">
                  <c:v>3.05</c:v>
                </c:pt>
                <c:pt idx="68">
                  <c:v>3.1</c:v>
                </c:pt>
                <c:pt idx="69">
                  <c:v>3.15</c:v>
                </c:pt>
                <c:pt idx="70">
                  <c:v>3.2</c:v>
                </c:pt>
                <c:pt idx="71">
                  <c:v>3.25</c:v>
                </c:pt>
                <c:pt idx="72">
                  <c:v>3.3</c:v>
                </c:pt>
                <c:pt idx="73">
                  <c:v>3.35</c:v>
                </c:pt>
                <c:pt idx="74">
                  <c:v>3.4</c:v>
                </c:pt>
                <c:pt idx="75">
                  <c:v>3.45</c:v>
                </c:pt>
                <c:pt idx="76">
                  <c:v>3.5</c:v>
                </c:pt>
                <c:pt idx="77">
                  <c:v>3.55</c:v>
                </c:pt>
                <c:pt idx="78">
                  <c:v>3.6</c:v>
                </c:pt>
                <c:pt idx="79">
                  <c:v>3.65</c:v>
                </c:pt>
                <c:pt idx="80">
                  <c:v>3.7</c:v>
                </c:pt>
                <c:pt idx="81">
                  <c:v>3.75</c:v>
                </c:pt>
                <c:pt idx="82">
                  <c:v>3.8</c:v>
                </c:pt>
                <c:pt idx="83">
                  <c:v>3.85</c:v>
                </c:pt>
                <c:pt idx="84">
                  <c:v>3.9</c:v>
                </c:pt>
                <c:pt idx="85">
                  <c:v>3.95</c:v>
                </c:pt>
                <c:pt idx="86">
                  <c:v>4</c:v>
                </c:pt>
                <c:pt idx="87">
                  <c:v>4.05</c:v>
                </c:pt>
                <c:pt idx="88">
                  <c:v>4.0999999999999996</c:v>
                </c:pt>
                <c:pt idx="89">
                  <c:v>4.1500000000000004</c:v>
                </c:pt>
                <c:pt idx="90">
                  <c:v>4.2</c:v>
                </c:pt>
                <c:pt idx="91">
                  <c:v>4.25</c:v>
                </c:pt>
                <c:pt idx="92">
                  <c:v>4.3</c:v>
                </c:pt>
                <c:pt idx="93">
                  <c:v>4.3499999999999996</c:v>
                </c:pt>
                <c:pt idx="94">
                  <c:v>4.4000000000000004</c:v>
                </c:pt>
                <c:pt idx="95">
                  <c:v>4.45</c:v>
                </c:pt>
                <c:pt idx="96">
                  <c:v>4.5</c:v>
                </c:pt>
                <c:pt idx="97">
                  <c:v>4.55</c:v>
                </c:pt>
                <c:pt idx="98">
                  <c:v>4.5999999999999996</c:v>
                </c:pt>
                <c:pt idx="99">
                  <c:v>4.6500000000000004</c:v>
                </c:pt>
                <c:pt idx="100">
                  <c:v>4.7</c:v>
                </c:pt>
                <c:pt idx="101">
                  <c:v>4.75</c:v>
                </c:pt>
                <c:pt idx="102">
                  <c:v>4.8</c:v>
                </c:pt>
                <c:pt idx="103">
                  <c:v>4.8499999999999996</c:v>
                </c:pt>
                <c:pt idx="104">
                  <c:v>4.9000000000000004</c:v>
                </c:pt>
                <c:pt idx="105">
                  <c:v>4.95</c:v>
                </c:pt>
                <c:pt idx="106">
                  <c:v>5</c:v>
                </c:pt>
                <c:pt idx="107">
                  <c:v>5.05</c:v>
                </c:pt>
                <c:pt idx="108">
                  <c:v>5.0999999999999996</c:v>
                </c:pt>
                <c:pt idx="109">
                  <c:v>5.15</c:v>
                </c:pt>
                <c:pt idx="110">
                  <c:v>5.2</c:v>
                </c:pt>
                <c:pt idx="111">
                  <c:v>5.25</c:v>
                </c:pt>
                <c:pt idx="112">
                  <c:v>5.3</c:v>
                </c:pt>
                <c:pt idx="113">
                  <c:v>5.35</c:v>
                </c:pt>
                <c:pt idx="114">
                  <c:v>5.4</c:v>
                </c:pt>
                <c:pt idx="115">
                  <c:v>5.45</c:v>
                </c:pt>
                <c:pt idx="116">
                  <c:v>5.5</c:v>
                </c:pt>
                <c:pt idx="117">
                  <c:v>5.55</c:v>
                </c:pt>
                <c:pt idx="118">
                  <c:v>5.6</c:v>
                </c:pt>
                <c:pt idx="119">
                  <c:v>5.65</c:v>
                </c:pt>
                <c:pt idx="120">
                  <c:v>5.7</c:v>
                </c:pt>
                <c:pt idx="121">
                  <c:v>5.75</c:v>
                </c:pt>
                <c:pt idx="122">
                  <c:v>5.8</c:v>
                </c:pt>
                <c:pt idx="123">
                  <c:v>5.85</c:v>
                </c:pt>
                <c:pt idx="124">
                  <c:v>5.9</c:v>
                </c:pt>
                <c:pt idx="125">
                  <c:v>5.95</c:v>
                </c:pt>
                <c:pt idx="126">
                  <c:v>6</c:v>
                </c:pt>
              </c:numCache>
            </c:numRef>
          </c:xVal>
          <c:yVal>
            <c:numRef>
              <c:f>'Damage Curves - Res'!$N$31:$N$157</c:f>
              <c:numCache>
                <c:formatCode>0.000</c:formatCode>
                <c:ptCount val="127"/>
                <c:pt idx="0">
                  <c:v>0</c:v>
                </c:pt>
                <c:pt idx="1">
                  <c:v>1.3864583333333333E-3</c:v>
                </c:pt>
                <c:pt idx="2">
                  <c:v>2.7729166666666666E-3</c:v>
                </c:pt>
                <c:pt idx="3">
                  <c:v>4.1593750000000007E-3</c:v>
                </c:pt>
                <c:pt idx="4">
                  <c:v>5.545833333333334E-3</c:v>
                </c:pt>
                <c:pt idx="5">
                  <c:v>6.9322916666666682E-3</c:v>
                </c:pt>
                <c:pt idx="6">
                  <c:v>8.3187500000000015E-3</c:v>
                </c:pt>
                <c:pt idx="7">
                  <c:v>5.9239583333333345E-2</c:v>
                </c:pt>
                <c:pt idx="8">
                  <c:v>0.11016041666666669</c:v>
                </c:pt>
                <c:pt idx="9">
                  <c:v>0.11287031250000003</c:v>
                </c:pt>
                <c:pt idx="10">
                  <c:v>0.11558020833333335</c:v>
                </c:pt>
                <c:pt idx="11">
                  <c:v>0.11829010416666669</c:v>
                </c:pt>
                <c:pt idx="12">
                  <c:v>0.12100000000000002</c:v>
                </c:pt>
                <c:pt idx="13">
                  <c:v>0.12100000000000002</c:v>
                </c:pt>
                <c:pt idx="14">
                  <c:v>0.12100000000000002</c:v>
                </c:pt>
                <c:pt idx="15">
                  <c:v>0.12100000000000002</c:v>
                </c:pt>
                <c:pt idx="16">
                  <c:v>0.12100000000000002</c:v>
                </c:pt>
                <c:pt idx="17">
                  <c:v>0.12213437500000003</c:v>
                </c:pt>
                <c:pt idx="18">
                  <c:v>0.12326875000000002</c:v>
                </c:pt>
                <c:pt idx="19">
                  <c:v>0.12440312500000003</c:v>
                </c:pt>
                <c:pt idx="20">
                  <c:v>0.12553750000000002</c:v>
                </c:pt>
                <c:pt idx="21">
                  <c:v>0.12667187500000004</c:v>
                </c:pt>
                <c:pt idx="22">
                  <c:v>0.12780625000000004</c:v>
                </c:pt>
                <c:pt idx="23">
                  <c:v>0.12894062500000003</c:v>
                </c:pt>
                <c:pt idx="24">
                  <c:v>0.13007500000000002</c:v>
                </c:pt>
                <c:pt idx="25">
                  <c:v>0.13120937500000004</c:v>
                </c:pt>
                <c:pt idx="26">
                  <c:v>0.13234375000000004</c:v>
                </c:pt>
                <c:pt idx="27">
                  <c:v>0.13552000000000003</c:v>
                </c:pt>
                <c:pt idx="28">
                  <c:v>0.13869625000000005</c:v>
                </c:pt>
                <c:pt idx="29">
                  <c:v>0.14187250000000004</c:v>
                </c:pt>
                <c:pt idx="30">
                  <c:v>0.14504875000000003</c:v>
                </c:pt>
                <c:pt idx="31">
                  <c:v>0.14822500000000005</c:v>
                </c:pt>
                <c:pt idx="32">
                  <c:v>0.15140125000000004</c:v>
                </c:pt>
                <c:pt idx="33">
                  <c:v>0.15457750000000003</c:v>
                </c:pt>
                <c:pt idx="34">
                  <c:v>0.15775375000000003</c:v>
                </c:pt>
                <c:pt idx="35">
                  <c:v>0.16093000000000005</c:v>
                </c:pt>
                <c:pt idx="36">
                  <c:v>0.16410625000000004</c:v>
                </c:pt>
                <c:pt idx="37">
                  <c:v>0.16481208333333336</c:v>
                </c:pt>
                <c:pt idx="38">
                  <c:v>0.16551791666666671</c:v>
                </c:pt>
                <c:pt idx="39">
                  <c:v>0.16622375000000003</c:v>
                </c:pt>
                <c:pt idx="40">
                  <c:v>0.16692958333333338</c:v>
                </c:pt>
                <c:pt idx="41">
                  <c:v>0.1676354166666667</c:v>
                </c:pt>
                <c:pt idx="42">
                  <c:v>0.16834125000000003</c:v>
                </c:pt>
                <c:pt idx="43">
                  <c:v>0.16904708333333338</c:v>
                </c:pt>
                <c:pt idx="44">
                  <c:v>0.1697529166666667</c:v>
                </c:pt>
                <c:pt idx="45">
                  <c:v>0.17045875000000005</c:v>
                </c:pt>
                <c:pt idx="46">
                  <c:v>0.17116458333333337</c:v>
                </c:pt>
                <c:pt idx="47">
                  <c:v>0.17484500000000003</c:v>
                </c:pt>
                <c:pt idx="48">
                  <c:v>0.17852541666666671</c:v>
                </c:pt>
                <c:pt idx="49">
                  <c:v>0.18220583333333337</c:v>
                </c:pt>
                <c:pt idx="50">
                  <c:v>0.18588625000000006</c:v>
                </c:pt>
                <c:pt idx="51">
                  <c:v>0.18956666666666672</c:v>
                </c:pt>
                <c:pt idx="52">
                  <c:v>0.19324708333333335</c:v>
                </c:pt>
                <c:pt idx="53">
                  <c:v>0.19692750000000003</c:v>
                </c:pt>
                <c:pt idx="54">
                  <c:v>0.20060791666666669</c:v>
                </c:pt>
                <c:pt idx="55">
                  <c:v>0.20428833333333338</c:v>
                </c:pt>
                <c:pt idx="56">
                  <c:v>0.20796875000000004</c:v>
                </c:pt>
                <c:pt idx="57">
                  <c:v>0.21041395833333337</c:v>
                </c:pt>
                <c:pt idx="58">
                  <c:v>0.21285916666666671</c:v>
                </c:pt>
                <c:pt idx="59">
                  <c:v>0.21530437500000005</c:v>
                </c:pt>
                <c:pt idx="60">
                  <c:v>0.21774958333333339</c:v>
                </c:pt>
                <c:pt idx="61">
                  <c:v>0.24484548611111107</c:v>
                </c:pt>
                <c:pt idx="62">
                  <c:v>0.27194138888888875</c:v>
                </c:pt>
                <c:pt idx="63">
                  <c:v>0.2990372916666667</c:v>
                </c:pt>
                <c:pt idx="64">
                  <c:v>0.32613319444444439</c:v>
                </c:pt>
                <c:pt idx="65">
                  <c:v>0.35322909722222234</c:v>
                </c:pt>
                <c:pt idx="66">
                  <c:v>0.38032500000000002</c:v>
                </c:pt>
                <c:pt idx="67">
                  <c:v>0.38432624999999998</c:v>
                </c:pt>
                <c:pt idx="68">
                  <c:v>0.38832749999999999</c:v>
                </c:pt>
                <c:pt idx="69">
                  <c:v>0.39232875</c:v>
                </c:pt>
                <c:pt idx="70">
                  <c:v>0.39633000000000002</c:v>
                </c:pt>
                <c:pt idx="71">
                  <c:v>0.40033124999999997</c:v>
                </c:pt>
                <c:pt idx="72">
                  <c:v>0.40433249999999998</c:v>
                </c:pt>
                <c:pt idx="73">
                  <c:v>0.40833375</c:v>
                </c:pt>
                <c:pt idx="74">
                  <c:v>0.41233499999999995</c:v>
                </c:pt>
                <c:pt idx="75">
                  <c:v>0.41633624999999996</c:v>
                </c:pt>
                <c:pt idx="76">
                  <c:v>0.42033749999999992</c:v>
                </c:pt>
                <c:pt idx="77">
                  <c:v>0.42433874999999993</c:v>
                </c:pt>
                <c:pt idx="78">
                  <c:v>0.42833999999999994</c:v>
                </c:pt>
                <c:pt idx="79">
                  <c:v>0.4323412499999999</c:v>
                </c:pt>
                <c:pt idx="80">
                  <c:v>0.43634249999999991</c:v>
                </c:pt>
                <c:pt idx="81">
                  <c:v>0.44034374999999992</c:v>
                </c:pt>
                <c:pt idx="82">
                  <c:v>0.44434499999999988</c:v>
                </c:pt>
                <c:pt idx="83">
                  <c:v>0.44834624999999989</c:v>
                </c:pt>
                <c:pt idx="84">
                  <c:v>0.4523474999999999</c:v>
                </c:pt>
                <c:pt idx="85">
                  <c:v>0.45634874999999986</c:v>
                </c:pt>
                <c:pt idx="86">
                  <c:v>0.46034999999999987</c:v>
                </c:pt>
                <c:pt idx="87">
                  <c:v>0.46034999999999987</c:v>
                </c:pt>
                <c:pt idx="88">
                  <c:v>0.46034999999999987</c:v>
                </c:pt>
                <c:pt idx="89">
                  <c:v>0.46034999999999987</c:v>
                </c:pt>
                <c:pt idx="90">
                  <c:v>0.46034999999999987</c:v>
                </c:pt>
                <c:pt idx="91">
                  <c:v>0.46034999999999987</c:v>
                </c:pt>
                <c:pt idx="92">
                  <c:v>0.46034999999999987</c:v>
                </c:pt>
                <c:pt idx="93">
                  <c:v>0.46034999999999987</c:v>
                </c:pt>
                <c:pt idx="94">
                  <c:v>0.46034999999999987</c:v>
                </c:pt>
                <c:pt idx="95">
                  <c:v>0.46034999999999987</c:v>
                </c:pt>
                <c:pt idx="96">
                  <c:v>0.46034999999999987</c:v>
                </c:pt>
                <c:pt idx="97">
                  <c:v>0.46034999999999987</c:v>
                </c:pt>
                <c:pt idx="98">
                  <c:v>0.46034999999999987</c:v>
                </c:pt>
                <c:pt idx="99">
                  <c:v>0.46034999999999987</c:v>
                </c:pt>
                <c:pt idx="100">
                  <c:v>0.46034999999999987</c:v>
                </c:pt>
                <c:pt idx="101">
                  <c:v>0.46034999999999987</c:v>
                </c:pt>
                <c:pt idx="102">
                  <c:v>0.46034999999999987</c:v>
                </c:pt>
                <c:pt idx="103">
                  <c:v>0.46034999999999987</c:v>
                </c:pt>
                <c:pt idx="104">
                  <c:v>0.46034999999999987</c:v>
                </c:pt>
                <c:pt idx="105">
                  <c:v>0.46034999999999987</c:v>
                </c:pt>
                <c:pt idx="106">
                  <c:v>0.46034999999999987</c:v>
                </c:pt>
                <c:pt idx="107">
                  <c:v>0.46034999999999987</c:v>
                </c:pt>
                <c:pt idx="108">
                  <c:v>0.46034999999999987</c:v>
                </c:pt>
                <c:pt idx="109">
                  <c:v>0.46034999999999987</c:v>
                </c:pt>
                <c:pt idx="110">
                  <c:v>0.46034999999999987</c:v>
                </c:pt>
                <c:pt idx="111">
                  <c:v>0.46034999999999987</c:v>
                </c:pt>
                <c:pt idx="112">
                  <c:v>0.46034999999999987</c:v>
                </c:pt>
                <c:pt idx="113">
                  <c:v>0.46034999999999987</c:v>
                </c:pt>
                <c:pt idx="114">
                  <c:v>0.46034999999999987</c:v>
                </c:pt>
                <c:pt idx="115">
                  <c:v>0.46034999999999987</c:v>
                </c:pt>
                <c:pt idx="116">
                  <c:v>0.46034999999999987</c:v>
                </c:pt>
                <c:pt idx="117">
                  <c:v>0.46034999999999987</c:v>
                </c:pt>
                <c:pt idx="118">
                  <c:v>0.46034999999999987</c:v>
                </c:pt>
                <c:pt idx="119">
                  <c:v>0.46034999999999987</c:v>
                </c:pt>
                <c:pt idx="120">
                  <c:v>0.46034999999999987</c:v>
                </c:pt>
                <c:pt idx="121">
                  <c:v>0.46034999999999987</c:v>
                </c:pt>
                <c:pt idx="122">
                  <c:v>0.46034999999999987</c:v>
                </c:pt>
                <c:pt idx="123">
                  <c:v>0.46034999999999987</c:v>
                </c:pt>
                <c:pt idx="124">
                  <c:v>0.46034999999999987</c:v>
                </c:pt>
                <c:pt idx="125">
                  <c:v>0.46034999999999987</c:v>
                </c:pt>
                <c:pt idx="126">
                  <c:v>0.46034999999999987</c:v>
                </c:pt>
              </c:numCache>
            </c:numRef>
          </c:yVal>
          <c:smooth val="0"/>
          <c:extLst>
            <c:ext xmlns:c16="http://schemas.microsoft.com/office/drawing/2014/chart" uri="{C3380CC4-5D6E-409C-BE32-E72D297353CC}">
              <c16:uniqueId val="{00000000-3422-412B-93BE-AE1EDC5E54D9}"/>
            </c:ext>
          </c:extLst>
        </c:ser>
        <c:dLbls>
          <c:showLegendKey val="0"/>
          <c:showVal val="0"/>
          <c:showCatName val="0"/>
          <c:showSerName val="0"/>
          <c:showPercent val="0"/>
          <c:showBubbleSize val="0"/>
        </c:dLbls>
        <c:axId val="1116958799"/>
        <c:axId val="1116936335"/>
      </c:scatterChart>
      <c:valAx>
        <c:axId val="1116958799"/>
        <c:scaling>
          <c:orientation val="minMax"/>
          <c:max val="6"/>
          <c:min val="-0.5"/>
        </c:scaling>
        <c:delete val="0"/>
        <c:axPos val="b"/>
        <c:majorGridlines>
          <c:spPr>
            <a:ln w="9525" cap="flat" cmpd="sng" algn="ctr">
              <a:solidFill>
                <a:schemeClr val="tx1">
                  <a:lumMod val="15000"/>
                  <a:lumOff val="85000"/>
                </a:schemeClr>
              </a:solidFill>
              <a:round/>
            </a:ln>
            <a:effectLst/>
          </c:spPr>
        </c:majorGridlines>
        <c:title>
          <c:tx>
            <c:strRef>
              <c:f>'Damage Curves - Res'!$C$30</c:f>
              <c:strCache>
                <c:ptCount val="1"/>
                <c:pt idx="0">
                  <c:v>Level (m)</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6936335"/>
        <c:crosses val="autoZero"/>
        <c:crossBetween val="midCat"/>
        <c:majorUnit val="0.5"/>
      </c:valAx>
      <c:valAx>
        <c:axId val="1116936335"/>
        <c:scaling>
          <c:orientation val="minMax"/>
          <c:max val="1"/>
        </c:scaling>
        <c:delete val="0"/>
        <c:axPos val="l"/>
        <c:majorGridlines>
          <c:spPr>
            <a:ln w="9525" cap="flat" cmpd="sng" algn="ctr">
              <a:solidFill>
                <a:schemeClr val="tx1">
                  <a:lumMod val="15000"/>
                  <a:lumOff val="85000"/>
                </a:schemeClr>
              </a:solidFill>
              <a:round/>
            </a:ln>
            <a:effectLst/>
          </c:spPr>
        </c:majorGridlines>
        <c:title>
          <c:tx>
            <c:strRef>
              <c:f>'Damage Curves - Res'!$D$30</c:f>
              <c:strCache>
                <c:ptCount val="1"/>
                <c:pt idx="0">
                  <c:v>Damage Index</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6958799"/>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'Damage Curves - Res'!$AC$5</c:f>
              <c:strCache>
                <c:ptCount val="1"/>
                <c:pt idx="0">
                  <c:v>Residential Single Storey - Internal</c:v>
                </c:pt>
              </c:strCache>
            </c:strRef>
          </c:tx>
          <c:spPr>
            <a:ln w="19050" cap="rnd">
              <a:solidFill>
                <a:schemeClr val="accent1"/>
              </a:solidFill>
              <a:round/>
            </a:ln>
            <a:effectLst/>
          </c:spPr>
          <c:marker>
            <c:symbol val="none"/>
          </c:marker>
          <c:xVal>
            <c:numRef>
              <c:f>'Damage Curves - Res'!$W$31:$W$97</c:f>
              <c:numCache>
                <c:formatCode>0.00</c:formatCode>
                <c:ptCount val="6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numCache>
            </c:numRef>
          </c:xVal>
          <c:yVal>
            <c:numRef>
              <c:f>'Damage Curves - Res'!$X$31:$X$97</c:f>
              <c:numCache>
                <c:formatCode>0.000</c:formatCode>
                <c:ptCount val="67"/>
                <c:pt idx="0">
                  <c:v>0</c:v>
                </c:pt>
                <c:pt idx="1">
                  <c:v>0</c:v>
                </c:pt>
                <c:pt idx="2">
                  <c:v>0</c:v>
                </c:pt>
                <c:pt idx="3">
                  <c:v>0</c:v>
                </c:pt>
                <c:pt idx="4">
                  <c:v>0</c:v>
                </c:pt>
                <c:pt idx="5">
                  <c:v>0</c:v>
                </c:pt>
                <c:pt idx="6">
                  <c:v>0</c:v>
                </c:pt>
                <c:pt idx="7">
                  <c:v>8.9054696431794936E-2</c:v>
                </c:pt>
                <c:pt idx="8">
                  <c:v>0.17810939286358987</c:v>
                </c:pt>
                <c:pt idx="9">
                  <c:v>0.26716408929538477</c:v>
                </c:pt>
                <c:pt idx="10">
                  <c:v>0.35621878572717974</c:v>
                </c:pt>
                <c:pt idx="11">
                  <c:v>0.44527348215897466</c:v>
                </c:pt>
                <c:pt idx="12">
                  <c:v>0.47656297009447018</c:v>
                </c:pt>
                <c:pt idx="13">
                  <c:v>0.5078524580299657</c:v>
                </c:pt>
                <c:pt idx="14">
                  <c:v>0.53914194596546128</c:v>
                </c:pt>
                <c:pt idx="15">
                  <c:v>0.57043143390095685</c:v>
                </c:pt>
                <c:pt idx="16">
                  <c:v>0.60172092183645232</c:v>
                </c:pt>
                <c:pt idx="17">
                  <c:v>0.62578975870991038</c:v>
                </c:pt>
                <c:pt idx="18">
                  <c:v>0.64985859558336845</c:v>
                </c:pt>
                <c:pt idx="19">
                  <c:v>0.67392743245682663</c:v>
                </c:pt>
                <c:pt idx="20">
                  <c:v>0.69799626933028469</c:v>
                </c:pt>
                <c:pt idx="21">
                  <c:v>0.72206510620374276</c:v>
                </c:pt>
                <c:pt idx="22">
                  <c:v>0.74613394307720093</c:v>
                </c:pt>
                <c:pt idx="23">
                  <c:v>0.770202779950659</c:v>
                </c:pt>
                <c:pt idx="24">
                  <c:v>0.79427161682411707</c:v>
                </c:pt>
                <c:pt idx="25">
                  <c:v>0.81834045369757513</c:v>
                </c:pt>
                <c:pt idx="26">
                  <c:v>0.84240929057103331</c:v>
                </c:pt>
                <c:pt idx="27">
                  <c:v>0.85043223619551933</c:v>
                </c:pt>
                <c:pt idx="28">
                  <c:v>0.85845518182000535</c:v>
                </c:pt>
                <c:pt idx="29">
                  <c:v>0.86647812744449138</c:v>
                </c:pt>
                <c:pt idx="30">
                  <c:v>0.8745010730689774</c:v>
                </c:pt>
                <c:pt idx="31">
                  <c:v>0.88252401869346342</c:v>
                </c:pt>
                <c:pt idx="32">
                  <c:v>0.89054696431794944</c:v>
                </c:pt>
                <c:pt idx="33">
                  <c:v>0.89856990994243557</c:v>
                </c:pt>
                <c:pt idx="34">
                  <c:v>0.90659285556692148</c:v>
                </c:pt>
                <c:pt idx="35">
                  <c:v>0.91461580119140762</c:v>
                </c:pt>
                <c:pt idx="36">
                  <c:v>0.92263874681589364</c:v>
                </c:pt>
                <c:pt idx="37">
                  <c:v>0.93066169244037966</c:v>
                </c:pt>
                <c:pt idx="38">
                  <c:v>0.93868463806486568</c:v>
                </c:pt>
                <c:pt idx="39">
                  <c:v>0.94670758368935159</c:v>
                </c:pt>
                <c:pt idx="40">
                  <c:v>0.95473052931383762</c:v>
                </c:pt>
                <c:pt idx="41">
                  <c:v>0.96275347493832364</c:v>
                </c:pt>
                <c:pt idx="42">
                  <c:v>0.965236576609102</c:v>
                </c:pt>
                <c:pt idx="43">
                  <c:v>0.96771967827988048</c:v>
                </c:pt>
                <c:pt idx="44">
                  <c:v>0.97020277995065884</c:v>
                </c:pt>
                <c:pt idx="45">
                  <c:v>0.97268588162143732</c:v>
                </c:pt>
                <c:pt idx="46">
                  <c:v>0.97516898329221569</c:v>
                </c:pt>
                <c:pt idx="47">
                  <c:v>0.97765208496299416</c:v>
                </c:pt>
                <c:pt idx="48">
                  <c:v>0.98013518663377264</c:v>
                </c:pt>
                <c:pt idx="49">
                  <c:v>0.982618288304551</c:v>
                </c:pt>
                <c:pt idx="50">
                  <c:v>0.98510138997532948</c:v>
                </c:pt>
                <c:pt idx="51">
                  <c:v>0.98758449164610795</c:v>
                </c:pt>
                <c:pt idx="52">
                  <c:v>0.99006759331688632</c:v>
                </c:pt>
                <c:pt idx="53">
                  <c:v>0.99255069498766479</c:v>
                </c:pt>
                <c:pt idx="54">
                  <c:v>0.99503379665844316</c:v>
                </c:pt>
                <c:pt idx="55">
                  <c:v>0.99751689832922164</c:v>
                </c:pt>
                <c:pt idx="56">
                  <c:v>1</c:v>
                </c:pt>
                <c:pt idx="57">
                  <c:v>1</c:v>
                </c:pt>
                <c:pt idx="58">
                  <c:v>1</c:v>
                </c:pt>
                <c:pt idx="59">
                  <c:v>1</c:v>
                </c:pt>
                <c:pt idx="60">
                  <c:v>1</c:v>
                </c:pt>
                <c:pt idx="61">
                  <c:v>1</c:v>
                </c:pt>
                <c:pt idx="62">
                  <c:v>1</c:v>
                </c:pt>
                <c:pt idx="63">
                  <c:v>1</c:v>
                </c:pt>
                <c:pt idx="64">
                  <c:v>1</c:v>
                </c:pt>
                <c:pt idx="65">
                  <c:v>1</c:v>
                </c:pt>
                <c:pt idx="66">
                  <c:v>1</c:v>
                </c:pt>
              </c:numCache>
            </c:numRef>
          </c:yVal>
          <c:smooth val="0"/>
          <c:extLst>
            <c:ext xmlns:c16="http://schemas.microsoft.com/office/drawing/2014/chart" uri="{C3380CC4-5D6E-409C-BE32-E72D297353CC}">
              <c16:uniqueId val="{00000000-8F7C-48EE-AC86-3EAD1A3D58AA}"/>
            </c:ext>
          </c:extLst>
        </c:ser>
        <c:dLbls>
          <c:showLegendKey val="0"/>
          <c:showVal val="0"/>
          <c:showCatName val="0"/>
          <c:showSerName val="0"/>
          <c:showPercent val="0"/>
          <c:showBubbleSize val="0"/>
        </c:dLbls>
        <c:axId val="1116958799"/>
        <c:axId val="1116936335"/>
      </c:scatterChart>
      <c:valAx>
        <c:axId val="1116958799"/>
        <c:scaling>
          <c:orientation val="minMax"/>
          <c:max val="3"/>
        </c:scaling>
        <c:delete val="0"/>
        <c:axPos val="b"/>
        <c:majorGridlines>
          <c:spPr>
            <a:ln w="9525" cap="flat" cmpd="sng" algn="ctr">
              <a:solidFill>
                <a:schemeClr val="tx1">
                  <a:lumMod val="15000"/>
                  <a:lumOff val="85000"/>
                </a:schemeClr>
              </a:solidFill>
              <a:round/>
            </a:ln>
            <a:effectLst/>
          </c:spPr>
        </c:majorGridlines>
        <c:title>
          <c:tx>
            <c:strRef>
              <c:f>'Damage Curves - Res'!$C$30</c:f>
              <c:strCache>
                <c:ptCount val="1"/>
                <c:pt idx="0">
                  <c:v>Level (m)</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6936335"/>
        <c:crosses val="autoZero"/>
        <c:crossBetween val="midCat"/>
      </c:valAx>
      <c:valAx>
        <c:axId val="1116936335"/>
        <c:scaling>
          <c:orientation val="minMax"/>
          <c:max val="1"/>
        </c:scaling>
        <c:delete val="0"/>
        <c:axPos val="l"/>
        <c:majorGridlines>
          <c:spPr>
            <a:ln w="9525" cap="flat" cmpd="sng" algn="ctr">
              <a:solidFill>
                <a:schemeClr val="tx1">
                  <a:lumMod val="15000"/>
                  <a:lumOff val="85000"/>
                </a:schemeClr>
              </a:solidFill>
              <a:round/>
            </a:ln>
            <a:effectLst/>
          </c:spPr>
        </c:majorGridlines>
        <c:title>
          <c:tx>
            <c:strRef>
              <c:f>'Damage Curves - Res'!$D$30</c:f>
              <c:strCache>
                <c:ptCount val="1"/>
                <c:pt idx="0">
                  <c:v>Damage Index</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6958799"/>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'Damage Curves - Res'!$AM$5</c:f>
              <c:strCache>
                <c:ptCount val="1"/>
                <c:pt idx="0">
                  <c:v>Residential Double Storey - Internal</c:v>
                </c:pt>
              </c:strCache>
            </c:strRef>
          </c:tx>
          <c:spPr>
            <a:ln w="19050" cap="rnd">
              <a:solidFill>
                <a:schemeClr val="accent1"/>
              </a:solidFill>
              <a:round/>
            </a:ln>
            <a:effectLst/>
          </c:spPr>
          <c:marker>
            <c:symbol val="none"/>
          </c:marker>
          <c:xVal>
            <c:numRef>
              <c:f>'Damage Curves - Res'!$AG$31:$AG$157</c:f>
              <c:numCache>
                <c:formatCode>0.00</c:formatCode>
                <c:ptCount val="12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pt idx="67">
                  <c:v>3.05</c:v>
                </c:pt>
                <c:pt idx="68">
                  <c:v>3.1</c:v>
                </c:pt>
                <c:pt idx="69">
                  <c:v>3.15</c:v>
                </c:pt>
                <c:pt idx="70">
                  <c:v>3.2</c:v>
                </c:pt>
                <c:pt idx="71">
                  <c:v>3.25</c:v>
                </c:pt>
                <c:pt idx="72">
                  <c:v>3.3</c:v>
                </c:pt>
                <c:pt idx="73">
                  <c:v>3.35</c:v>
                </c:pt>
                <c:pt idx="74">
                  <c:v>3.4</c:v>
                </c:pt>
                <c:pt idx="75">
                  <c:v>3.45</c:v>
                </c:pt>
                <c:pt idx="76">
                  <c:v>3.5</c:v>
                </c:pt>
                <c:pt idx="77">
                  <c:v>3.55</c:v>
                </c:pt>
                <c:pt idx="78">
                  <c:v>3.6</c:v>
                </c:pt>
                <c:pt idx="79">
                  <c:v>3.65</c:v>
                </c:pt>
                <c:pt idx="80">
                  <c:v>3.7</c:v>
                </c:pt>
                <c:pt idx="81">
                  <c:v>3.75</c:v>
                </c:pt>
                <c:pt idx="82">
                  <c:v>3.8</c:v>
                </c:pt>
                <c:pt idx="83">
                  <c:v>3.85</c:v>
                </c:pt>
                <c:pt idx="84">
                  <c:v>3.9</c:v>
                </c:pt>
                <c:pt idx="85">
                  <c:v>3.95</c:v>
                </c:pt>
                <c:pt idx="86">
                  <c:v>4</c:v>
                </c:pt>
                <c:pt idx="87">
                  <c:v>4.05</c:v>
                </c:pt>
                <c:pt idx="88">
                  <c:v>4.0999999999999996</c:v>
                </c:pt>
                <c:pt idx="89">
                  <c:v>4.1500000000000004</c:v>
                </c:pt>
                <c:pt idx="90">
                  <c:v>4.2</c:v>
                </c:pt>
                <c:pt idx="91">
                  <c:v>4.25</c:v>
                </c:pt>
                <c:pt idx="92">
                  <c:v>4.3</c:v>
                </c:pt>
                <c:pt idx="93">
                  <c:v>4.3499999999999996</c:v>
                </c:pt>
                <c:pt idx="94">
                  <c:v>4.4000000000000004</c:v>
                </c:pt>
                <c:pt idx="95">
                  <c:v>4.45</c:v>
                </c:pt>
                <c:pt idx="96">
                  <c:v>4.5</c:v>
                </c:pt>
                <c:pt idx="97">
                  <c:v>4.55</c:v>
                </c:pt>
                <c:pt idx="98">
                  <c:v>4.5999999999999996</c:v>
                </c:pt>
                <c:pt idx="99">
                  <c:v>4.6500000000000004</c:v>
                </c:pt>
                <c:pt idx="100">
                  <c:v>4.7</c:v>
                </c:pt>
                <c:pt idx="101">
                  <c:v>4.75</c:v>
                </c:pt>
                <c:pt idx="102">
                  <c:v>4.8</c:v>
                </c:pt>
                <c:pt idx="103">
                  <c:v>4.8499999999999996</c:v>
                </c:pt>
                <c:pt idx="104">
                  <c:v>4.9000000000000004</c:v>
                </c:pt>
                <c:pt idx="105">
                  <c:v>4.95</c:v>
                </c:pt>
                <c:pt idx="106">
                  <c:v>5</c:v>
                </c:pt>
                <c:pt idx="107">
                  <c:v>5.05</c:v>
                </c:pt>
                <c:pt idx="108">
                  <c:v>5.0999999999999996</c:v>
                </c:pt>
                <c:pt idx="109">
                  <c:v>5.15</c:v>
                </c:pt>
                <c:pt idx="110">
                  <c:v>5.2</c:v>
                </c:pt>
                <c:pt idx="111">
                  <c:v>5.25</c:v>
                </c:pt>
                <c:pt idx="112">
                  <c:v>5.3</c:v>
                </c:pt>
                <c:pt idx="113">
                  <c:v>5.35</c:v>
                </c:pt>
                <c:pt idx="114">
                  <c:v>5.4</c:v>
                </c:pt>
                <c:pt idx="115">
                  <c:v>5.45</c:v>
                </c:pt>
                <c:pt idx="116">
                  <c:v>5.5</c:v>
                </c:pt>
                <c:pt idx="117">
                  <c:v>5.55</c:v>
                </c:pt>
                <c:pt idx="118">
                  <c:v>5.6</c:v>
                </c:pt>
                <c:pt idx="119">
                  <c:v>5.65</c:v>
                </c:pt>
                <c:pt idx="120">
                  <c:v>5.7</c:v>
                </c:pt>
                <c:pt idx="121">
                  <c:v>5.75</c:v>
                </c:pt>
                <c:pt idx="122">
                  <c:v>5.8</c:v>
                </c:pt>
                <c:pt idx="123">
                  <c:v>5.85</c:v>
                </c:pt>
                <c:pt idx="124">
                  <c:v>5.9</c:v>
                </c:pt>
                <c:pt idx="125">
                  <c:v>5.95</c:v>
                </c:pt>
                <c:pt idx="126">
                  <c:v>6</c:v>
                </c:pt>
              </c:numCache>
            </c:numRef>
          </c:xVal>
          <c:yVal>
            <c:numRef>
              <c:f>'Damage Curves - Res'!$AH$31:$AH$157</c:f>
              <c:numCache>
                <c:formatCode>0.000</c:formatCode>
                <c:ptCount val="127"/>
                <c:pt idx="0">
                  <c:v>0</c:v>
                </c:pt>
                <c:pt idx="1">
                  <c:v>0</c:v>
                </c:pt>
                <c:pt idx="2">
                  <c:v>0</c:v>
                </c:pt>
                <c:pt idx="3">
                  <c:v>0</c:v>
                </c:pt>
                <c:pt idx="4">
                  <c:v>0</c:v>
                </c:pt>
                <c:pt idx="5">
                  <c:v>0</c:v>
                </c:pt>
                <c:pt idx="6">
                  <c:v>0</c:v>
                </c:pt>
                <c:pt idx="7">
                  <c:v>3.8095238095238099E-2</c:v>
                </c:pt>
                <c:pt idx="8">
                  <c:v>7.6190476190476197E-2</c:v>
                </c:pt>
                <c:pt idx="9">
                  <c:v>0.11428571428571427</c:v>
                </c:pt>
                <c:pt idx="10">
                  <c:v>0.15238095238095239</c:v>
                </c:pt>
                <c:pt idx="11">
                  <c:v>0.19047619047619047</c:v>
                </c:pt>
                <c:pt idx="12">
                  <c:v>0.2095238095238095</c:v>
                </c:pt>
                <c:pt idx="13">
                  <c:v>0.22857142857142854</c:v>
                </c:pt>
                <c:pt idx="14">
                  <c:v>0.24761904761904763</c:v>
                </c:pt>
                <c:pt idx="15">
                  <c:v>0.26666666666666666</c:v>
                </c:pt>
                <c:pt idx="16">
                  <c:v>0.2857142857142857</c:v>
                </c:pt>
                <c:pt idx="17">
                  <c:v>0.29523809523809524</c:v>
                </c:pt>
                <c:pt idx="18">
                  <c:v>0.30476190476190473</c:v>
                </c:pt>
                <c:pt idx="19">
                  <c:v>0.31428571428571428</c:v>
                </c:pt>
                <c:pt idx="20">
                  <c:v>0.32380952380952377</c:v>
                </c:pt>
                <c:pt idx="21">
                  <c:v>0.33333333333333331</c:v>
                </c:pt>
                <c:pt idx="22">
                  <c:v>0.34285714285714286</c:v>
                </c:pt>
                <c:pt idx="23">
                  <c:v>0.35238095238095235</c:v>
                </c:pt>
                <c:pt idx="24">
                  <c:v>0.3619047619047619</c:v>
                </c:pt>
                <c:pt idx="25">
                  <c:v>0.37142857142857139</c:v>
                </c:pt>
                <c:pt idx="26">
                  <c:v>0.38095238095238093</c:v>
                </c:pt>
                <c:pt idx="27">
                  <c:v>0.38306878306878306</c:v>
                </c:pt>
                <c:pt idx="28">
                  <c:v>0.38518518518518519</c:v>
                </c:pt>
                <c:pt idx="29">
                  <c:v>0.38730158730158726</c:v>
                </c:pt>
                <c:pt idx="30">
                  <c:v>0.38941798941798939</c:v>
                </c:pt>
                <c:pt idx="31">
                  <c:v>0.39153439153439151</c:v>
                </c:pt>
                <c:pt idx="32">
                  <c:v>0.39365079365079364</c:v>
                </c:pt>
                <c:pt idx="33">
                  <c:v>0.39576719576719577</c:v>
                </c:pt>
                <c:pt idx="34">
                  <c:v>0.39788359788359789</c:v>
                </c:pt>
                <c:pt idx="35">
                  <c:v>0.4</c:v>
                </c:pt>
                <c:pt idx="36">
                  <c:v>0.40211640211640215</c:v>
                </c:pt>
                <c:pt idx="37">
                  <c:v>0.40423280423280428</c:v>
                </c:pt>
                <c:pt idx="38">
                  <c:v>0.4063492063492064</c:v>
                </c:pt>
                <c:pt idx="39">
                  <c:v>0.40846560846560848</c:v>
                </c:pt>
                <c:pt idx="40">
                  <c:v>0.4105820105820106</c:v>
                </c:pt>
                <c:pt idx="41">
                  <c:v>0.41269841269841273</c:v>
                </c:pt>
                <c:pt idx="42">
                  <c:v>0.41481481481481486</c:v>
                </c:pt>
                <c:pt idx="43">
                  <c:v>0.41693121693121693</c:v>
                </c:pt>
                <c:pt idx="44">
                  <c:v>0.41904761904761906</c:v>
                </c:pt>
                <c:pt idx="45">
                  <c:v>0.42116402116402113</c:v>
                </c:pt>
                <c:pt idx="46">
                  <c:v>0.42328042328042326</c:v>
                </c:pt>
                <c:pt idx="47">
                  <c:v>0.42433862433862429</c:v>
                </c:pt>
                <c:pt idx="48">
                  <c:v>0.42539682539682538</c:v>
                </c:pt>
                <c:pt idx="49">
                  <c:v>0.42645502645502642</c:v>
                </c:pt>
                <c:pt idx="50">
                  <c:v>0.42751322751322751</c:v>
                </c:pt>
                <c:pt idx="51">
                  <c:v>0.42857142857142855</c:v>
                </c:pt>
                <c:pt idx="52">
                  <c:v>0.43174603174603171</c:v>
                </c:pt>
                <c:pt idx="53">
                  <c:v>0.43492063492063493</c:v>
                </c:pt>
                <c:pt idx="54">
                  <c:v>0.43809523809523809</c:v>
                </c:pt>
                <c:pt idx="55">
                  <c:v>0.44126984126984131</c:v>
                </c:pt>
                <c:pt idx="56">
                  <c:v>0.44444444444444448</c:v>
                </c:pt>
                <c:pt idx="57">
                  <c:v>0.45396825396825397</c:v>
                </c:pt>
                <c:pt idx="58">
                  <c:v>0.46349206349206351</c:v>
                </c:pt>
                <c:pt idx="59">
                  <c:v>0.473015873015873</c:v>
                </c:pt>
                <c:pt idx="60">
                  <c:v>0.4825396825396826</c:v>
                </c:pt>
                <c:pt idx="61">
                  <c:v>0.49206349206349209</c:v>
                </c:pt>
                <c:pt idx="62">
                  <c:v>0.50793650793650791</c:v>
                </c:pt>
                <c:pt idx="63">
                  <c:v>0.52380952380952384</c:v>
                </c:pt>
                <c:pt idx="64">
                  <c:v>0.53968253968253965</c:v>
                </c:pt>
                <c:pt idx="65">
                  <c:v>0.55555555555555558</c:v>
                </c:pt>
                <c:pt idx="66">
                  <c:v>0.5714285714285714</c:v>
                </c:pt>
                <c:pt idx="67">
                  <c:v>0.60317460317460303</c:v>
                </c:pt>
                <c:pt idx="68">
                  <c:v>0.634920634920635</c:v>
                </c:pt>
                <c:pt idx="69">
                  <c:v>0.66666666666666663</c:v>
                </c:pt>
                <c:pt idx="70">
                  <c:v>0.6984126984126986</c:v>
                </c:pt>
                <c:pt idx="71">
                  <c:v>0.73015873015873023</c:v>
                </c:pt>
                <c:pt idx="72">
                  <c:v>0.74920634920634921</c:v>
                </c:pt>
                <c:pt idx="73">
                  <c:v>0.76825396825396841</c:v>
                </c:pt>
                <c:pt idx="74">
                  <c:v>0.78730158730158739</c:v>
                </c:pt>
                <c:pt idx="75">
                  <c:v>0.80634920634920648</c:v>
                </c:pt>
                <c:pt idx="76">
                  <c:v>0.82539682539682546</c:v>
                </c:pt>
                <c:pt idx="77">
                  <c:v>0.83809523809523812</c:v>
                </c:pt>
                <c:pt idx="78">
                  <c:v>0.85079365079365088</c:v>
                </c:pt>
                <c:pt idx="79">
                  <c:v>0.86349206349206353</c:v>
                </c:pt>
                <c:pt idx="80">
                  <c:v>0.8761904761904763</c:v>
                </c:pt>
                <c:pt idx="81">
                  <c:v>0.88888888888888895</c:v>
                </c:pt>
                <c:pt idx="82">
                  <c:v>0.89735449735449735</c:v>
                </c:pt>
                <c:pt idx="83">
                  <c:v>0.90582010582010586</c:v>
                </c:pt>
                <c:pt idx="84">
                  <c:v>0.91428571428571426</c:v>
                </c:pt>
                <c:pt idx="85">
                  <c:v>0.92275132275132277</c:v>
                </c:pt>
                <c:pt idx="86">
                  <c:v>0.93121693121693117</c:v>
                </c:pt>
                <c:pt idx="87">
                  <c:v>0.93439153439153433</c:v>
                </c:pt>
                <c:pt idx="88">
                  <c:v>0.93756613756613749</c:v>
                </c:pt>
                <c:pt idx="89">
                  <c:v>0.94074074074074077</c:v>
                </c:pt>
                <c:pt idx="90">
                  <c:v>0.94391534391534393</c:v>
                </c:pt>
                <c:pt idx="91">
                  <c:v>0.94708994708994709</c:v>
                </c:pt>
                <c:pt idx="92">
                  <c:v>0.94920634920634928</c:v>
                </c:pt>
                <c:pt idx="93">
                  <c:v>0.95132275132275135</c:v>
                </c:pt>
                <c:pt idx="94">
                  <c:v>0.95343915343915353</c:v>
                </c:pt>
                <c:pt idx="95">
                  <c:v>0.9555555555555556</c:v>
                </c:pt>
                <c:pt idx="96">
                  <c:v>0.95767195767195779</c:v>
                </c:pt>
                <c:pt idx="97">
                  <c:v>0.96084656084656095</c:v>
                </c:pt>
                <c:pt idx="98">
                  <c:v>0.96402116402116411</c:v>
                </c:pt>
                <c:pt idx="99">
                  <c:v>0.96719576719576728</c:v>
                </c:pt>
                <c:pt idx="100">
                  <c:v>0.97037037037037044</c:v>
                </c:pt>
                <c:pt idx="101">
                  <c:v>0.9735449735449736</c:v>
                </c:pt>
                <c:pt idx="102">
                  <c:v>0.97566137566137567</c:v>
                </c:pt>
                <c:pt idx="103">
                  <c:v>0.97777777777777786</c:v>
                </c:pt>
                <c:pt idx="104">
                  <c:v>0.97989417989417993</c:v>
                </c:pt>
                <c:pt idx="105">
                  <c:v>0.98201058201058211</c:v>
                </c:pt>
                <c:pt idx="106">
                  <c:v>0.98412698412698418</c:v>
                </c:pt>
                <c:pt idx="107">
                  <c:v>0.98518518518518527</c:v>
                </c:pt>
                <c:pt idx="108">
                  <c:v>0.98624338624338626</c:v>
                </c:pt>
                <c:pt idx="109">
                  <c:v>0.98730158730158735</c:v>
                </c:pt>
                <c:pt idx="110">
                  <c:v>0.98835978835978833</c:v>
                </c:pt>
                <c:pt idx="111">
                  <c:v>0.98941798941798942</c:v>
                </c:pt>
                <c:pt idx="112">
                  <c:v>0.99047619047619051</c:v>
                </c:pt>
                <c:pt idx="113">
                  <c:v>0.9915343915343916</c:v>
                </c:pt>
                <c:pt idx="114">
                  <c:v>0.99259259259259258</c:v>
                </c:pt>
                <c:pt idx="115">
                  <c:v>0.99365079365079367</c:v>
                </c:pt>
                <c:pt idx="116">
                  <c:v>0.99470899470899476</c:v>
                </c:pt>
                <c:pt idx="117">
                  <c:v>0.99523809523809526</c:v>
                </c:pt>
                <c:pt idx="118">
                  <c:v>0.99576719576719575</c:v>
                </c:pt>
                <c:pt idx="119">
                  <c:v>0.99629629629629635</c:v>
                </c:pt>
                <c:pt idx="120">
                  <c:v>0.99682539682539684</c:v>
                </c:pt>
                <c:pt idx="121">
                  <c:v>0.99735449735449733</c:v>
                </c:pt>
                <c:pt idx="122">
                  <c:v>0.99788359788359782</c:v>
                </c:pt>
                <c:pt idx="123">
                  <c:v>0.99841269841269842</c:v>
                </c:pt>
                <c:pt idx="124">
                  <c:v>0.99894179894179891</c:v>
                </c:pt>
                <c:pt idx="125">
                  <c:v>0.99947089947089951</c:v>
                </c:pt>
                <c:pt idx="126">
                  <c:v>1</c:v>
                </c:pt>
              </c:numCache>
            </c:numRef>
          </c:yVal>
          <c:smooth val="0"/>
          <c:extLst>
            <c:ext xmlns:c16="http://schemas.microsoft.com/office/drawing/2014/chart" uri="{C3380CC4-5D6E-409C-BE32-E72D297353CC}">
              <c16:uniqueId val="{00000000-6AFE-47CE-9973-49A3335879CD}"/>
            </c:ext>
          </c:extLst>
        </c:ser>
        <c:dLbls>
          <c:showLegendKey val="0"/>
          <c:showVal val="0"/>
          <c:showCatName val="0"/>
          <c:showSerName val="0"/>
          <c:showPercent val="0"/>
          <c:showBubbleSize val="0"/>
        </c:dLbls>
        <c:axId val="1116958799"/>
        <c:axId val="1116936335"/>
      </c:scatterChart>
      <c:valAx>
        <c:axId val="1116958799"/>
        <c:scaling>
          <c:orientation val="minMax"/>
          <c:max val="6"/>
          <c:min val="-0.5"/>
        </c:scaling>
        <c:delete val="0"/>
        <c:axPos val="b"/>
        <c:majorGridlines>
          <c:spPr>
            <a:ln w="9525" cap="flat" cmpd="sng" algn="ctr">
              <a:solidFill>
                <a:schemeClr val="tx1">
                  <a:lumMod val="15000"/>
                  <a:lumOff val="85000"/>
                </a:schemeClr>
              </a:solidFill>
              <a:round/>
            </a:ln>
            <a:effectLst/>
          </c:spPr>
        </c:majorGridlines>
        <c:title>
          <c:tx>
            <c:strRef>
              <c:f>'Damage Curves - Res'!$C$30</c:f>
              <c:strCache>
                <c:ptCount val="1"/>
                <c:pt idx="0">
                  <c:v>Level (m)</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6936335"/>
        <c:crosses val="autoZero"/>
        <c:crossBetween val="midCat"/>
        <c:majorUnit val="0.5"/>
      </c:valAx>
      <c:valAx>
        <c:axId val="1116936335"/>
        <c:scaling>
          <c:orientation val="minMax"/>
          <c:max val="1"/>
        </c:scaling>
        <c:delete val="0"/>
        <c:axPos val="l"/>
        <c:majorGridlines>
          <c:spPr>
            <a:ln w="9525" cap="flat" cmpd="sng" algn="ctr">
              <a:solidFill>
                <a:schemeClr val="tx1">
                  <a:lumMod val="15000"/>
                  <a:lumOff val="85000"/>
                </a:schemeClr>
              </a:solidFill>
              <a:round/>
            </a:ln>
            <a:effectLst/>
          </c:spPr>
        </c:majorGridlines>
        <c:title>
          <c:tx>
            <c:strRef>
              <c:f>'Damage Curves - Res'!$D$30</c:f>
              <c:strCache>
                <c:ptCount val="1"/>
                <c:pt idx="0">
                  <c:v>Damage Index</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6958799"/>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120" normalizeH="0" baseline="0">
                <a:solidFill>
                  <a:schemeClr val="tx1">
                    <a:lumMod val="65000"/>
                    <a:lumOff val="35000"/>
                  </a:schemeClr>
                </a:solidFill>
                <a:latin typeface="+mn-lt"/>
                <a:ea typeface="+mn-ea"/>
                <a:cs typeface="+mn-cs"/>
              </a:defRPr>
            </a:pPr>
            <a:r>
              <a:rPr lang="en-AU"/>
              <a:t>Residential: Single Storey</a:t>
            </a:r>
          </a:p>
        </c:rich>
      </c:tx>
      <c:overlay val="0"/>
      <c:spPr>
        <a:noFill/>
        <a:ln>
          <a:noFill/>
        </a:ln>
        <a:effectLst/>
      </c:spPr>
      <c:txPr>
        <a:bodyPr rot="0" spcFirstLastPara="1" vertOverflow="ellipsis" vert="horz" wrap="square" anchor="ctr" anchorCtr="1"/>
        <a:lstStyle/>
        <a:p>
          <a:pPr>
            <a:defRPr sz="1600" b="1" i="0" u="none" strike="noStrike" kern="1200" cap="none" spc="120" normalizeH="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'Damage Curves - Total'!$F$30</c:f>
              <c:strCache>
                <c:ptCount val="1"/>
                <c:pt idx="0">
                  <c:v>Small</c:v>
                </c:pt>
              </c:strCache>
            </c:strRef>
          </c:tx>
          <c:spPr>
            <a:ln w="22225" cap="rnd">
              <a:solidFill>
                <a:schemeClr val="accent2"/>
              </a:solidFill>
              <a:round/>
            </a:ln>
            <a:effectLst/>
          </c:spPr>
          <c:marker>
            <c:symbol val="none"/>
          </c:marker>
          <c:xVal>
            <c:numRef>
              <c:f>'Damage Curves - Total'!$C$31:$C$97</c:f>
              <c:numCache>
                <c:formatCode>0.00</c:formatCode>
                <c:ptCount val="6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numCache>
            </c:numRef>
          </c:xVal>
          <c:yVal>
            <c:numRef>
              <c:f>'Damage Curves - Total'!$F$31:$F$97</c:f>
              <c:numCache>
                <c:formatCode>"$"#,##0</c:formatCode>
                <c:ptCount val="67"/>
                <c:pt idx="0">
                  <c:v>0</c:v>
                </c:pt>
                <c:pt idx="1">
                  <c:v>468.30589725036168</c:v>
                </c:pt>
                <c:pt idx="2">
                  <c:v>936.61179450072336</c:v>
                </c:pt>
                <c:pt idx="3">
                  <c:v>1404.9176917510854</c:v>
                </c:pt>
                <c:pt idx="4">
                  <c:v>1873.223589001447</c:v>
                </c:pt>
                <c:pt idx="5">
                  <c:v>2341.529486251809</c:v>
                </c:pt>
                <c:pt idx="6">
                  <c:v>2809.8353835021708</c:v>
                </c:pt>
                <c:pt idx="7">
                  <c:v>29874.424458242946</c:v>
                </c:pt>
                <c:pt idx="8">
                  <c:v>51939.013532983721</c:v>
                </c:pt>
                <c:pt idx="9">
                  <c:v>57719.329362427823</c:v>
                </c:pt>
                <c:pt idx="10">
                  <c:v>62599.645191871925</c:v>
                </c:pt>
                <c:pt idx="11">
                  <c:v>67479.961021316019</c:v>
                </c:pt>
                <c:pt idx="12">
                  <c:v>70043.120742671541</c:v>
                </c:pt>
                <c:pt idx="13">
                  <c:v>71690.955301219525</c:v>
                </c:pt>
                <c:pt idx="14">
                  <c:v>73338.789859767508</c:v>
                </c:pt>
                <c:pt idx="15">
                  <c:v>74986.624418315507</c:v>
                </c:pt>
                <c:pt idx="16">
                  <c:v>76495.173262577766</c:v>
                </c:pt>
                <c:pt idx="17">
                  <c:v>78081.611963806528</c:v>
                </c:pt>
                <c:pt idx="18">
                  <c:v>79668.050665035291</c:v>
                </c:pt>
                <c:pt idx="19">
                  <c:v>81254.489366264082</c:v>
                </c:pt>
                <c:pt idx="20">
                  <c:v>82840.928067492845</c:v>
                </c:pt>
                <c:pt idx="21">
                  <c:v>84427.366768721608</c:v>
                </c:pt>
                <c:pt idx="22">
                  <c:v>86013.80546995037</c:v>
                </c:pt>
                <c:pt idx="23">
                  <c:v>88689.529885464857</c:v>
                </c:pt>
                <c:pt idx="24">
                  <c:v>91365.254300979344</c:v>
                </c:pt>
                <c:pt idx="25">
                  <c:v>94040.978716493817</c:v>
                </c:pt>
                <c:pt idx="26">
                  <c:v>96716.70313200829</c:v>
                </c:pt>
                <c:pt idx="27">
                  <c:v>98128.73771769114</c:v>
                </c:pt>
                <c:pt idx="28">
                  <c:v>99540.77230337396</c:v>
                </c:pt>
                <c:pt idx="29">
                  <c:v>100952.8068890568</c:v>
                </c:pt>
                <c:pt idx="30">
                  <c:v>102364.84147473963</c:v>
                </c:pt>
                <c:pt idx="31">
                  <c:v>103776.87606042245</c:v>
                </c:pt>
                <c:pt idx="32">
                  <c:v>105188.9106461053</c:v>
                </c:pt>
                <c:pt idx="33">
                  <c:v>106600.94523178812</c:v>
                </c:pt>
                <c:pt idx="34">
                  <c:v>108012.97981747094</c:v>
                </c:pt>
                <c:pt idx="35">
                  <c:v>109425.01440315376</c:v>
                </c:pt>
                <c:pt idx="36">
                  <c:v>110837.04898883661</c:v>
                </c:pt>
                <c:pt idx="37">
                  <c:v>111414.64761214607</c:v>
                </c:pt>
                <c:pt idx="38">
                  <c:v>111992.24623545553</c:v>
                </c:pt>
                <c:pt idx="39">
                  <c:v>112569.84485876496</c:v>
                </c:pt>
                <c:pt idx="40">
                  <c:v>113147.44348207444</c:v>
                </c:pt>
                <c:pt idx="41">
                  <c:v>113725.04210538388</c:v>
                </c:pt>
                <c:pt idx="42">
                  <c:v>114068.43117416068</c:v>
                </c:pt>
                <c:pt idx="43">
                  <c:v>114411.82024293748</c:v>
                </c:pt>
                <c:pt idx="44">
                  <c:v>114755.20931171425</c:v>
                </c:pt>
                <c:pt idx="45">
                  <c:v>115098.59838049106</c:v>
                </c:pt>
                <c:pt idx="46">
                  <c:v>115441.98744926786</c:v>
                </c:pt>
                <c:pt idx="47">
                  <c:v>116790.10553396362</c:v>
                </c:pt>
                <c:pt idx="48">
                  <c:v>118138.22361865938</c:v>
                </c:pt>
                <c:pt idx="49">
                  <c:v>119486.34170335511</c:v>
                </c:pt>
                <c:pt idx="50">
                  <c:v>120834.45978805088</c:v>
                </c:pt>
                <c:pt idx="51">
                  <c:v>122182.57787274662</c:v>
                </c:pt>
                <c:pt idx="52">
                  <c:v>123530.69595744238</c:v>
                </c:pt>
                <c:pt idx="53">
                  <c:v>124878.81404213815</c:v>
                </c:pt>
                <c:pt idx="54">
                  <c:v>126226.93212683388</c:v>
                </c:pt>
                <c:pt idx="55">
                  <c:v>127575.05021152964</c:v>
                </c:pt>
                <c:pt idx="56">
                  <c:v>128923.1682962254</c:v>
                </c:pt>
                <c:pt idx="57">
                  <c:v>129749.08960592149</c:v>
                </c:pt>
                <c:pt idx="58">
                  <c:v>130575.01091561757</c:v>
                </c:pt>
                <c:pt idx="59">
                  <c:v>131400.93222531368</c:v>
                </c:pt>
                <c:pt idx="60">
                  <c:v>132226.85353500978</c:v>
                </c:pt>
                <c:pt idx="61">
                  <c:v>133052.77484470585</c:v>
                </c:pt>
                <c:pt idx="62">
                  <c:v>133878.69615440193</c:v>
                </c:pt>
                <c:pt idx="63">
                  <c:v>134704.61746409806</c:v>
                </c:pt>
                <c:pt idx="64">
                  <c:v>135530.53877379413</c:v>
                </c:pt>
                <c:pt idx="65">
                  <c:v>136356.46008349024</c:v>
                </c:pt>
                <c:pt idx="66">
                  <c:v>137182.38139318634</c:v>
                </c:pt>
              </c:numCache>
            </c:numRef>
          </c:yVal>
          <c:smooth val="0"/>
          <c:extLst>
            <c:ext xmlns:c16="http://schemas.microsoft.com/office/drawing/2014/chart" uri="{C3380CC4-5D6E-409C-BE32-E72D297353CC}">
              <c16:uniqueId val="{00000000-4435-467B-B913-23EFF4834970}"/>
            </c:ext>
          </c:extLst>
        </c:ser>
        <c:ser>
          <c:idx val="2"/>
          <c:order val="1"/>
          <c:tx>
            <c:strRef>
              <c:f>'Damage Curves - Total'!$G$30</c:f>
              <c:strCache>
                <c:ptCount val="1"/>
                <c:pt idx="0">
                  <c:v>Medium</c:v>
                </c:pt>
              </c:strCache>
            </c:strRef>
          </c:tx>
          <c:spPr>
            <a:ln w="22225" cap="rnd">
              <a:solidFill>
                <a:schemeClr val="accent3"/>
              </a:solidFill>
              <a:round/>
            </a:ln>
            <a:effectLst/>
          </c:spPr>
          <c:marker>
            <c:symbol val="none"/>
          </c:marker>
          <c:xVal>
            <c:numRef>
              <c:f>'Damage Curves - Total'!$C$31:$C$97</c:f>
              <c:numCache>
                <c:formatCode>0.00</c:formatCode>
                <c:ptCount val="6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numCache>
            </c:numRef>
          </c:xVal>
          <c:yVal>
            <c:numRef>
              <c:f>'Damage Curves - Total'!$G$31:$G$97</c:f>
              <c:numCache>
                <c:formatCode>"$"#,##0</c:formatCode>
                <c:ptCount val="67"/>
                <c:pt idx="0">
                  <c:v>0</c:v>
                </c:pt>
                <c:pt idx="1">
                  <c:v>936.61179450072336</c:v>
                </c:pt>
                <c:pt idx="2">
                  <c:v>1873.2235890014467</c:v>
                </c:pt>
                <c:pt idx="3">
                  <c:v>2809.8353835021708</c:v>
                </c:pt>
                <c:pt idx="4">
                  <c:v>3746.4471780028939</c:v>
                </c:pt>
                <c:pt idx="5">
                  <c:v>4683.058972503618</c:v>
                </c:pt>
                <c:pt idx="6">
                  <c:v>5619.6707670043415</c:v>
                </c:pt>
                <c:pt idx="7">
                  <c:v>53648.848916485891</c:v>
                </c:pt>
                <c:pt idx="8">
                  <c:v>96678.027065967442</c:v>
                </c:pt>
                <c:pt idx="9">
                  <c:v>107138.65872485565</c:v>
                </c:pt>
                <c:pt idx="10">
                  <c:v>116699.29038374385</c:v>
                </c:pt>
                <c:pt idx="11">
                  <c:v>126259.92204263204</c:v>
                </c:pt>
                <c:pt idx="12">
                  <c:v>131061.24148534307</c:v>
                </c:pt>
                <c:pt idx="13">
                  <c:v>134031.91060243905</c:v>
                </c:pt>
                <c:pt idx="14">
                  <c:v>137002.57971953502</c:v>
                </c:pt>
                <c:pt idx="15">
                  <c:v>139973.24883663098</c:v>
                </c:pt>
                <c:pt idx="16">
                  <c:v>142804.63223944124</c:v>
                </c:pt>
                <c:pt idx="17">
                  <c:v>145791.79535618451</c:v>
                </c:pt>
                <c:pt idx="18">
                  <c:v>148778.95847292774</c:v>
                </c:pt>
                <c:pt idx="19">
                  <c:v>151766.12158967101</c:v>
                </c:pt>
                <c:pt idx="20">
                  <c:v>154753.28470641427</c:v>
                </c:pt>
                <c:pt idx="21">
                  <c:v>157740.44782315748</c:v>
                </c:pt>
                <c:pt idx="22">
                  <c:v>160727.61093990074</c:v>
                </c:pt>
                <c:pt idx="23">
                  <c:v>164804.05977092971</c:v>
                </c:pt>
                <c:pt idx="24">
                  <c:v>168880.50860195869</c:v>
                </c:pt>
                <c:pt idx="25">
                  <c:v>172956.95743298763</c:v>
                </c:pt>
                <c:pt idx="26">
                  <c:v>177033.40626401658</c:v>
                </c:pt>
                <c:pt idx="27">
                  <c:v>179857.47543538228</c:v>
                </c:pt>
                <c:pt idx="28">
                  <c:v>182681.54460674792</c:v>
                </c:pt>
                <c:pt idx="29">
                  <c:v>185505.61377811359</c:v>
                </c:pt>
                <c:pt idx="30">
                  <c:v>188329.68294947926</c:v>
                </c:pt>
                <c:pt idx="31">
                  <c:v>191153.7521208449</c:v>
                </c:pt>
                <c:pt idx="32">
                  <c:v>193977.8212922106</c:v>
                </c:pt>
                <c:pt idx="33">
                  <c:v>196801.89046357624</c:v>
                </c:pt>
                <c:pt idx="34">
                  <c:v>199625.95963494189</c:v>
                </c:pt>
                <c:pt idx="35">
                  <c:v>202450.02880630753</c:v>
                </c:pt>
                <c:pt idx="36">
                  <c:v>205274.09797767323</c:v>
                </c:pt>
                <c:pt idx="37">
                  <c:v>206429.29522429215</c:v>
                </c:pt>
                <c:pt idx="38">
                  <c:v>207584.49247091106</c:v>
                </c:pt>
                <c:pt idx="39">
                  <c:v>208739.68971752992</c:v>
                </c:pt>
                <c:pt idx="40">
                  <c:v>209894.88696414887</c:v>
                </c:pt>
                <c:pt idx="41">
                  <c:v>211050.08421076776</c:v>
                </c:pt>
                <c:pt idx="42">
                  <c:v>211736.86234832136</c:v>
                </c:pt>
                <c:pt idx="43">
                  <c:v>212423.64048587496</c:v>
                </c:pt>
                <c:pt idx="44">
                  <c:v>213110.4186234285</c:v>
                </c:pt>
                <c:pt idx="45">
                  <c:v>213797.19676098213</c:v>
                </c:pt>
                <c:pt idx="46">
                  <c:v>214483.97489853573</c:v>
                </c:pt>
                <c:pt idx="47">
                  <c:v>217180.21106792724</c:v>
                </c:pt>
                <c:pt idx="48">
                  <c:v>219876.44723731876</c:v>
                </c:pt>
                <c:pt idx="49">
                  <c:v>222572.68340671022</c:v>
                </c:pt>
                <c:pt idx="50">
                  <c:v>225268.91957610176</c:v>
                </c:pt>
                <c:pt idx="51">
                  <c:v>227965.15574549325</c:v>
                </c:pt>
                <c:pt idx="52">
                  <c:v>230661.39191488476</c:v>
                </c:pt>
                <c:pt idx="53">
                  <c:v>233357.62808427631</c:v>
                </c:pt>
                <c:pt idx="54">
                  <c:v>236053.86425366777</c:v>
                </c:pt>
                <c:pt idx="55">
                  <c:v>238750.10042305928</c:v>
                </c:pt>
                <c:pt idx="56">
                  <c:v>241446.3365924508</c:v>
                </c:pt>
                <c:pt idx="57">
                  <c:v>243098.17921184297</c:v>
                </c:pt>
                <c:pt idx="58">
                  <c:v>244750.02183123515</c:v>
                </c:pt>
                <c:pt idx="59">
                  <c:v>246401.86445062736</c:v>
                </c:pt>
                <c:pt idx="60">
                  <c:v>248053.70707001956</c:v>
                </c:pt>
                <c:pt idx="61">
                  <c:v>249705.54968941171</c:v>
                </c:pt>
                <c:pt idx="62">
                  <c:v>251357.39230880389</c:v>
                </c:pt>
                <c:pt idx="63">
                  <c:v>253009.23492819612</c:v>
                </c:pt>
                <c:pt idx="64">
                  <c:v>254661.07754758827</c:v>
                </c:pt>
                <c:pt idx="65">
                  <c:v>256312.92016698045</c:v>
                </c:pt>
                <c:pt idx="66">
                  <c:v>257964.76278637265</c:v>
                </c:pt>
              </c:numCache>
            </c:numRef>
          </c:yVal>
          <c:smooth val="0"/>
          <c:extLst>
            <c:ext xmlns:c16="http://schemas.microsoft.com/office/drawing/2014/chart" uri="{C3380CC4-5D6E-409C-BE32-E72D297353CC}">
              <c16:uniqueId val="{00000001-4435-467B-B913-23EFF4834970}"/>
            </c:ext>
          </c:extLst>
        </c:ser>
        <c:ser>
          <c:idx val="3"/>
          <c:order val="2"/>
          <c:tx>
            <c:strRef>
              <c:f>'Damage Curves - Total'!$H$30</c:f>
              <c:strCache>
                <c:ptCount val="1"/>
                <c:pt idx="0">
                  <c:v>Large</c:v>
                </c:pt>
              </c:strCache>
            </c:strRef>
          </c:tx>
          <c:spPr>
            <a:ln w="22225" cap="rnd">
              <a:solidFill>
                <a:schemeClr val="accent4"/>
              </a:solidFill>
              <a:round/>
            </a:ln>
            <a:effectLst/>
          </c:spPr>
          <c:marker>
            <c:symbol val="none"/>
          </c:marker>
          <c:xVal>
            <c:numRef>
              <c:f>'Damage Curves - Total'!$C$31:$C$97</c:f>
              <c:numCache>
                <c:formatCode>0.00</c:formatCode>
                <c:ptCount val="6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numCache>
            </c:numRef>
          </c:xVal>
          <c:yVal>
            <c:numRef>
              <c:f>'Damage Curves - Total'!$H$31:$H$97</c:f>
              <c:numCache>
                <c:formatCode>"$"#,##0</c:formatCode>
                <c:ptCount val="67"/>
                <c:pt idx="0">
                  <c:v>0</c:v>
                </c:pt>
                <c:pt idx="1">
                  <c:v>1248.8157260009646</c:v>
                </c:pt>
                <c:pt idx="2">
                  <c:v>2497.6314520019291</c:v>
                </c:pt>
                <c:pt idx="3">
                  <c:v>3746.4471780028939</c:v>
                </c:pt>
                <c:pt idx="4">
                  <c:v>4995.2629040038591</c:v>
                </c:pt>
                <c:pt idx="5">
                  <c:v>6244.0786300048239</c:v>
                </c:pt>
                <c:pt idx="6">
                  <c:v>7492.8943560057887</c:v>
                </c:pt>
                <c:pt idx="7">
                  <c:v>69498.465221981183</c:v>
                </c:pt>
                <c:pt idx="8">
                  <c:v>126504.0360879566</c:v>
                </c:pt>
                <c:pt idx="9">
                  <c:v>140084.87829980752</c:v>
                </c:pt>
                <c:pt idx="10">
                  <c:v>152765.72051165847</c:v>
                </c:pt>
                <c:pt idx="11">
                  <c:v>165446.56272350941</c:v>
                </c:pt>
                <c:pt idx="12">
                  <c:v>171739.98864712409</c:v>
                </c:pt>
                <c:pt idx="13">
                  <c:v>175592.54746991873</c:v>
                </c:pt>
                <c:pt idx="14">
                  <c:v>179445.10629271335</c:v>
                </c:pt>
                <c:pt idx="15">
                  <c:v>183297.66511550799</c:v>
                </c:pt>
                <c:pt idx="16">
                  <c:v>187010.93822401689</c:v>
                </c:pt>
                <c:pt idx="17">
                  <c:v>190931.9176177698</c:v>
                </c:pt>
                <c:pt idx="18">
                  <c:v>194852.89701152273</c:v>
                </c:pt>
                <c:pt idx="19">
                  <c:v>198773.87640527566</c:v>
                </c:pt>
                <c:pt idx="20">
                  <c:v>202694.85579902853</c:v>
                </c:pt>
                <c:pt idx="21">
                  <c:v>206615.83519278141</c:v>
                </c:pt>
                <c:pt idx="22">
                  <c:v>210536.81458653434</c:v>
                </c:pt>
                <c:pt idx="23">
                  <c:v>215547.07969457295</c:v>
                </c:pt>
                <c:pt idx="24">
                  <c:v>220557.34480261157</c:v>
                </c:pt>
                <c:pt idx="25">
                  <c:v>225567.60991065018</c:v>
                </c:pt>
                <c:pt idx="26">
                  <c:v>230577.87501868879</c:v>
                </c:pt>
                <c:pt idx="27">
                  <c:v>234343.30058050971</c:v>
                </c:pt>
                <c:pt idx="28">
                  <c:v>238108.72614233059</c:v>
                </c:pt>
                <c:pt idx="29">
                  <c:v>241874.15170415145</c:v>
                </c:pt>
                <c:pt idx="30">
                  <c:v>245639.57726597233</c:v>
                </c:pt>
                <c:pt idx="31">
                  <c:v>249405.00282779321</c:v>
                </c:pt>
                <c:pt idx="32">
                  <c:v>253170.4283896141</c:v>
                </c:pt>
                <c:pt idx="33">
                  <c:v>256935.85395143501</c:v>
                </c:pt>
                <c:pt idx="34">
                  <c:v>260701.27951325587</c:v>
                </c:pt>
                <c:pt idx="35">
                  <c:v>264466.70507507672</c:v>
                </c:pt>
                <c:pt idx="36">
                  <c:v>268232.13063689764</c:v>
                </c:pt>
                <c:pt idx="37">
                  <c:v>269772.39363238955</c:v>
                </c:pt>
                <c:pt idx="38">
                  <c:v>271312.6566278814</c:v>
                </c:pt>
                <c:pt idx="39">
                  <c:v>272852.91962337325</c:v>
                </c:pt>
                <c:pt idx="40">
                  <c:v>274393.18261886516</c:v>
                </c:pt>
                <c:pt idx="41">
                  <c:v>275933.44561435701</c:v>
                </c:pt>
                <c:pt idx="42">
                  <c:v>276849.14979776181</c:v>
                </c:pt>
                <c:pt idx="43">
                  <c:v>277764.85398116661</c:v>
                </c:pt>
                <c:pt idx="44">
                  <c:v>278680.55816457141</c:v>
                </c:pt>
                <c:pt idx="45">
                  <c:v>279596.26234797621</c:v>
                </c:pt>
                <c:pt idx="46">
                  <c:v>280511.96653138095</c:v>
                </c:pt>
                <c:pt idx="47">
                  <c:v>284106.94809056964</c:v>
                </c:pt>
                <c:pt idx="48">
                  <c:v>287701.92964975839</c:v>
                </c:pt>
                <c:pt idx="49">
                  <c:v>291296.91120894701</c:v>
                </c:pt>
                <c:pt idx="50">
                  <c:v>294891.89276813564</c:v>
                </c:pt>
                <c:pt idx="51">
                  <c:v>298486.87432732439</c:v>
                </c:pt>
                <c:pt idx="52">
                  <c:v>302081.85588651302</c:v>
                </c:pt>
                <c:pt idx="53">
                  <c:v>305676.83744570176</c:v>
                </c:pt>
                <c:pt idx="54">
                  <c:v>309271.81900489039</c:v>
                </c:pt>
                <c:pt idx="55">
                  <c:v>312866.80056407908</c:v>
                </c:pt>
                <c:pt idx="56">
                  <c:v>316461.78212326771</c:v>
                </c:pt>
                <c:pt idx="57">
                  <c:v>318664.238949124</c:v>
                </c:pt>
                <c:pt idx="58">
                  <c:v>320866.69577498024</c:v>
                </c:pt>
                <c:pt idx="59">
                  <c:v>323069.15260083647</c:v>
                </c:pt>
                <c:pt idx="60">
                  <c:v>325271.60942669277</c:v>
                </c:pt>
                <c:pt idx="61">
                  <c:v>327474.06625254895</c:v>
                </c:pt>
                <c:pt idx="62">
                  <c:v>329676.52307840518</c:v>
                </c:pt>
                <c:pt idx="63">
                  <c:v>331878.97990426148</c:v>
                </c:pt>
                <c:pt idx="64">
                  <c:v>334081.43673011765</c:v>
                </c:pt>
                <c:pt idx="65">
                  <c:v>336283.89355597395</c:v>
                </c:pt>
                <c:pt idx="66">
                  <c:v>338486.35038183018</c:v>
                </c:pt>
              </c:numCache>
            </c:numRef>
          </c:yVal>
          <c:smooth val="0"/>
          <c:extLst>
            <c:ext xmlns:c16="http://schemas.microsoft.com/office/drawing/2014/chart" uri="{C3380CC4-5D6E-409C-BE32-E72D297353CC}">
              <c16:uniqueId val="{00000002-4435-467B-B913-23EFF4834970}"/>
            </c:ext>
          </c:extLst>
        </c:ser>
        <c:ser>
          <c:idx val="0"/>
          <c:order val="3"/>
          <c:tx>
            <c:strRef>
              <c:f>'Damage Curves - Total'!$I$30</c:f>
              <c:strCache>
                <c:ptCount val="1"/>
                <c:pt idx="0">
                  <c:v>Recommended</c:v>
                </c:pt>
              </c:strCache>
            </c:strRef>
          </c:tx>
          <c:spPr>
            <a:ln w="22225" cap="rnd">
              <a:solidFill>
                <a:schemeClr val="accent1"/>
              </a:solidFill>
              <a:round/>
            </a:ln>
            <a:effectLst/>
          </c:spPr>
          <c:marker>
            <c:symbol val="none"/>
          </c:marker>
          <c:xVal>
            <c:numRef>
              <c:f>'Damage Curves - Total'!$C$31:$C$97</c:f>
              <c:numCache>
                <c:formatCode>0.00</c:formatCode>
                <c:ptCount val="6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numCache>
            </c:numRef>
          </c:xVal>
          <c:yVal>
            <c:numRef>
              <c:f>'Damage Curves - Total'!$I$31:$I$97</c:f>
              <c:numCache>
                <c:formatCode>"$"#,##0</c:formatCode>
                <c:ptCount val="67"/>
                <c:pt idx="0">
                  <c:v>0</c:v>
                </c:pt>
                <c:pt idx="1">
                  <c:v>1144.7477488342174</c:v>
                </c:pt>
                <c:pt idx="2">
                  <c:v>2289.4954976684348</c:v>
                </c:pt>
                <c:pt idx="3">
                  <c:v>3434.2432465026527</c:v>
                </c:pt>
                <c:pt idx="4">
                  <c:v>4578.9909953368706</c:v>
                </c:pt>
                <c:pt idx="5">
                  <c:v>5723.738744171088</c:v>
                </c:pt>
                <c:pt idx="6">
                  <c:v>6868.4864930053063</c:v>
                </c:pt>
                <c:pt idx="7">
                  <c:v>64215.259786816088</c:v>
                </c:pt>
                <c:pt idx="8">
                  <c:v>116562.03308062688</c:v>
                </c:pt>
                <c:pt idx="9">
                  <c:v>129102.8051081569</c:v>
                </c:pt>
                <c:pt idx="10">
                  <c:v>140743.57713568694</c:v>
                </c:pt>
                <c:pt idx="11">
                  <c:v>152384.34916321695</c:v>
                </c:pt>
                <c:pt idx="12">
                  <c:v>158180.40625986375</c:v>
                </c:pt>
                <c:pt idx="13">
                  <c:v>161739.0018474255</c:v>
                </c:pt>
                <c:pt idx="14">
                  <c:v>165297.59743498726</c:v>
                </c:pt>
                <c:pt idx="15">
                  <c:v>168856.19302254898</c:v>
                </c:pt>
                <c:pt idx="16">
                  <c:v>172275.50289582502</c:v>
                </c:pt>
                <c:pt idx="17">
                  <c:v>175885.21019724134</c:v>
                </c:pt>
                <c:pt idx="18">
                  <c:v>179494.91749865771</c:v>
                </c:pt>
                <c:pt idx="19">
                  <c:v>183104.62480007412</c:v>
                </c:pt>
                <c:pt idx="20">
                  <c:v>186714.33210149044</c:v>
                </c:pt>
                <c:pt idx="21">
                  <c:v>190324.03940290678</c:v>
                </c:pt>
                <c:pt idx="22">
                  <c:v>193933.74670432316</c:v>
                </c:pt>
                <c:pt idx="23">
                  <c:v>198632.73972002522</c:v>
                </c:pt>
                <c:pt idx="24">
                  <c:v>203331.73273572727</c:v>
                </c:pt>
                <c:pt idx="25">
                  <c:v>208030.72575142936</c:v>
                </c:pt>
                <c:pt idx="26">
                  <c:v>212729.71876713139</c:v>
                </c:pt>
                <c:pt idx="27">
                  <c:v>216181.35886546725</c:v>
                </c:pt>
                <c:pt idx="28">
                  <c:v>219632.99896380305</c:v>
                </c:pt>
                <c:pt idx="29">
                  <c:v>223084.63906213883</c:v>
                </c:pt>
                <c:pt idx="30">
                  <c:v>226536.27916047466</c:v>
                </c:pt>
                <c:pt idx="31">
                  <c:v>229987.91925881046</c:v>
                </c:pt>
                <c:pt idx="32">
                  <c:v>233439.55935714627</c:v>
                </c:pt>
                <c:pt idx="33">
                  <c:v>236891.19945548207</c:v>
                </c:pt>
                <c:pt idx="34">
                  <c:v>240342.83955381787</c:v>
                </c:pt>
                <c:pt idx="35">
                  <c:v>243794.47965215368</c:v>
                </c:pt>
                <c:pt idx="36">
                  <c:v>247246.11975048948</c:v>
                </c:pt>
                <c:pt idx="37">
                  <c:v>248658.02749635704</c:v>
                </c:pt>
                <c:pt idx="38">
                  <c:v>250069.9352422246</c:v>
                </c:pt>
                <c:pt idx="39">
                  <c:v>251481.84298809216</c:v>
                </c:pt>
                <c:pt idx="40">
                  <c:v>252893.75073395972</c:v>
                </c:pt>
                <c:pt idx="41">
                  <c:v>254305.65847982728</c:v>
                </c:pt>
                <c:pt idx="42">
                  <c:v>255145.0539812817</c:v>
                </c:pt>
                <c:pt idx="43">
                  <c:v>255984.44948273606</c:v>
                </c:pt>
                <c:pt idx="44">
                  <c:v>256823.84498419042</c:v>
                </c:pt>
                <c:pt idx="45">
                  <c:v>257663.24048564484</c:v>
                </c:pt>
                <c:pt idx="46">
                  <c:v>258502.6359870992</c:v>
                </c:pt>
                <c:pt idx="47">
                  <c:v>261798.03574968886</c:v>
                </c:pt>
                <c:pt idx="48">
                  <c:v>265093.43551227846</c:v>
                </c:pt>
                <c:pt idx="49">
                  <c:v>268388.83527486806</c:v>
                </c:pt>
                <c:pt idx="50">
                  <c:v>271684.23503745772</c:v>
                </c:pt>
                <c:pt idx="51">
                  <c:v>274979.63480004738</c:v>
                </c:pt>
                <c:pt idx="52">
                  <c:v>278275.03456263698</c:v>
                </c:pt>
                <c:pt idx="53">
                  <c:v>281570.43432522658</c:v>
                </c:pt>
                <c:pt idx="54">
                  <c:v>284865.83408781618</c:v>
                </c:pt>
                <c:pt idx="55">
                  <c:v>288161.23385040578</c:v>
                </c:pt>
                <c:pt idx="56">
                  <c:v>291456.63361299539</c:v>
                </c:pt>
                <c:pt idx="57">
                  <c:v>293475.55237003032</c:v>
                </c:pt>
                <c:pt idx="58">
                  <c:v>295494.47112706519</c:v>
                </c:pt>
                <c:pt idx="59">
                  <c:v>297513.38988410006</c:v>
                </c:pt>
                <c:pt idx="60">
                  <c:v>299532.30864113499</c:v>
                </c:pt>
                <c:pt idx="61">
                  <c:v>301551.22739816987</c:v>
                </c:pt>
                <c:pt idx="62">
                  <c:v>303570.14615520474</c:v>
                </c:pt>
                <c:pt idx="63">
                  <c:v>305589.06491223967</c:v>
                </c:pt>
                <c:pt idx="64">
                  <c:v>307607.98366927454</c:v>
                </c:pt>
                <c:pt idx="65">
                  <c:v>309626.90242630948</c:v>
                </c:pt>
                <c:pt idx="66">
                  <c:v>311645.82118334435</c:v>
                </c:pt>
              </c:numCache>
            </c:numRef>
          </c:yVal>
          <c:smooth val="0"/>
          <c:extLst>
            <c:ext xmlns:c16="http://schemas.microsoft.com/office/drawing/2014/chart" uri="{C3380CC4-5D6E-409C-BE32-E72D297353CC}">
              <c16:uniqueId val="{00000003-4435-467B-B913-23EFF4834970}"/>
            </c:ext>
          </c:extLst>
        </c:ser>
        <c:dLbls>
          <c:showLegendKey val="0"/>
          <c:showVal val="0"/>
          <c:showCatName val="0"/>
          <c:showSerName val="0"/>
          <c:showPercent val="0"/>
          <c:showBubbleSize val="0"/>
        </c:dLbls>
        <c:axId val="1750201631"/>
        <c:axId val="1750199551"/>
      </c:scatterChart>
      <c:valAx>
        <c:axId val="1750201631"/>
        <c:scaling>
          <c:orientation val="minMax"/>
          <c:max val="3"/>
        </c:scaling>
        <c:delete val="0"/>
        <c:axPos val="b"/>
        <c:majorGridlines>
          <c:spPr>
            <a:ln w="9525" cap="flat" cmpd="sng" algn="ctr">
              <a:solidFill>
                <a:schemeClr val="tx1">
                  <a:lumMod val="15000"/>
                  <a:lumOff val="85000"/>
                </a:schemeClr>
              </a:solidFill>
              <a:round/>
            </a:ln>
            <a:effectLst/>
          </c:spPr>
        </c:majorGridlines>
        <c:minorGridlines>
          <c:spPr>
            <a:ln>
              <a:solidFill>
                <a:schemeClr val="tx1">
                  <a:lumMod val="5000"/>
                  <a:lumOff val="95000"/>
                </a:schemeClr>
              </a:solidFill>
            </a:ln>
            <a:effectLst/>
          </c:spPr>
        </c:minorGridlines>
        <c:title>
          <c:tx>
            <c:rich>
              <a:bodyPr rot="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r>
                  <a:rPr lang="en-US"/>
                  <a:t>Depth above Floor Level (m)</a:t>
                </a:r>
              </a:p>
            </c:rich>
          </c:tx>
          <c:overlay val="0"/>
          <c:spPr>
            <a:noFill/>
            <a:ln>
              <a:noFill/>
            </a:ln>
            <a:effectLst/>
          </c:spPr>
          <c:txPr>
            <a:bodyPr rot="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120" normalizeH="0" baseline="0">
                <a:solidFill>
                  <a:schemeClr val="tx1">
                    <a:lumMod val="65000"/>
                    <a:lumOff val="35000"/>
                  </a:schemeClr>
                </a:solidFill>
                <a:latin typeface="+mn-lt"/>
                <a:ea typeface="+mn-ea"/>
                <a:cs typeface="+mn-cs"/>
              </a:defRPr>
            </a:pPr>
            <a:endParaRPr lang="en-US"/>
          </a:p>
        </c:txPr>
        <c:crossAx val="1750199551"/>
        <c:crosses val="autoZero"/>
        <c:crossBetween val="midCat"/>
      </c:valAx>
      <c:valAx>
        <c:axId val="17501995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r>
                  <a:rPr lang="en-AU"/>
                  <a:t>Total Damages ($)</a:t>
                </a:r>
              </a:p>
            </c:rich>
          </c:tx>
          <c:overlay val="0"/>
          <c:spPr>
            <a:noFill/>
            <a:ln>
              <a:noFill/>
            </a:ln>
            <a:effectLst/>
          </c:spPr>
          <c:txPr>
            <a:bodyPr rot="-540000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en-US"/>
          </a:p>
        </c:txPr>
        <c:crossAx val="1750201631"/>
        <c:crossesAt val="0"/>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cap="none" baseline="0">
          <a:latin typeface="+mn-lt"/>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scatterChart>
        <c:scatterStyle val="lineMarker"/>
        <c:varyColors val="0"/>
        <c:ser>
          <c:idx val="0"/>
          <c:order val="0"/>
          <c:tx>
            <c:strRef>
              <c:f>'Damage Curves - Com'!$F$31</c:f>
              <c:strCache>
                <c:ptCount val="1"/>
                <c:pt idx="0">
                  <c:v>Public Buildings</c:v>
                </c:pt>
              </c:strCache>
            </c:strRef>
          </c:tx>
          <c:spPr>
            <a:ln w="28575" cap="rnd">
              <a:solidFill>
                <a:schemeClr val="accent5">
                  <a:tint val="58000"/>
                </a:schemeClr>
              </a:solidFill>
              <a:prstDash val="sysDot"/>
              <a:round/>
            </a:ln>
            <a:effectLst/>
          </c:spPr>
          <c:marker>
            <c:symbol val="none"/>
          </c:marker>
          <c:xVal>
            <c:numRef>
              <c:f>'Damage Curves - Com'!$E$32:$E$118</c:f>
              <c:numCache>
                <c:formatCode>0.00</c:formatCode>
                <c:ptCount val="8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pt idx="67">
                  <c:v>3.05</c:v>
                </c:pt>
                <c:pt idx="68">
                  <c:v>3.1</c:v>
                </c:pt>
                <c:pt idx="69">
                  <c:v>3.15</c:v>
                </c:pt>
                <c:pt idx="70">
                  <c:v>3.2</c:v>
                </c:pt>
                <c:pt idx="71">
                  <c:v>3.25</c:v>
                </c:pt>
                <c:pt idx="72">
                  <c:v>3.3</c:v>
                </c:pt>
                <c:pt idx="73">
                  <c:v>3.35</c:v>
                </c:pt>
                <c:pt idx="74">
                  <c:v>3.4</c:v>
                </c:pt>
                <c:pt idx="75">
                  <c:v>3.45</c:v>
                </c:pt>
                <c:pt idx="76">
                  <c:v>3.5</c:v>
                </c:pt>
                <c:pt idx="77">
                  <c:v>3.55</c:v>
                </c:pt>
                <c:pt idx="78">
                  <c:v>3.6</c:v>
                </c:pt>
                <c:pt idx="79">
                  <c:v>3.65</c:v>
                </c:pt>
                <c:pt idx="80">
                  <c:v>3.7</c:v>
                </c:pt>
                <c:pt idx="81">
                  <c:v>3.75</c:v>
                </c:pt>
                <c:pt idx="82">
                  <c:v>3.8</c:v>
                </c:pt>
                <c:pt idx="83">
                  <c:v>3.85</c:v>
                </c:pt>
                <c:pt idx="84">
                  <c:v>3.9</c:v>
                </c:pt>
                <c:pt idx="85">
                  <c:v>3.95</c:v>
                </c:pt>
                <c:pt idx="86">
                  <c:v>4</c:v>
                </c:pt>
              </c:numCache>
            </c:numRef>
          </c:xVal>
          <c:yVal>
            <c:numRef>
              <c:f>'Damage Curves - Com'!$F$32:$F$118</c:f>
              <c:numCache>
                <c:formatCode>"$"#,##0</c:formatCode>
                <c:ptCount val="87"/>
                <c:pt idx="0">
                  <c:v>0</c:v>
                </c:pt>
                <c:pt idx="1">
                  <c:v>0</c:v>
                </c:pt>
                <c:pt idx="2">
                  <c:v>0</c:v>
                </c:pt>
                <c:pt idx="3">
                  <c:v>0</c:v>
                </c:pt>
                <c:pt idx="4">
                  <c:v>0</c:v>
                </c:pt>
                <c:pt idx="5">
                  <c:v>0</c:v>
                </c:pt>
                <c:pt idx="6">
                  <c:v>0</c:v>
                </c:pt>
                <c:pt idx="7">
                  <c:v>50.81493517584039</c:v>
                </c:pt>
                <c:pt idx="8">
                  <c:v>101.62987035168078</c:v>
                </c:pt>
                <c:pt idx="9">
                  <c:v>152.44480552752117</c:v>
                </c:pt>
                <c:pt idx="10">
                  <c:v>203.25974070336156</c:v>
                </c:pt>
                <c:pt idx="11">
                  <c:v>254.074675879202</c:v>
                </c:pt>
                <c:pt idx="12">
                  <c:v>275.39318375902496</c:v>
                </c:pt>
                <c:pt idx="13">
                  <c:v>296.71169163884792</c:v>
                </c:pt>
                <c:pt idx="14">
                  <c:v>318.03019951867094</c:v>
                </c:pt>
                <c:pt idx="15">
                  <c:v>339.34870739849396</c:v>
                </c:pt>
                <c:pt idx="16">
                  <c:v>360.66721527831692</c:v>
                </c:pt>
                <c:pt idx="17">
                  <c:v>381.98572315813999</c:v>
                </c:pt>
                <c:pt idx="18">
                  <c:v>403.30423103796289</c:v>
                </c:pt>
                <c:pt idx="19">
                  <c:v>424.62273891778591</c:v>
                </c:pt>
                <c:pt idx="20">
                  <c:v>445.94124679760898</c:v>
                </c:pt>
                <c:pt idx="21">
                  <c:v>467.25975467743194</c:v>
                </c:pt>
                <c:pt idx="22">
                  <c:v>490.7800100923842</c:v>
                </c:pt>
                <c:pt idx="23">
                  <c:v>514.30026550733658</c:v>
                </c:pt>
                <c:pt idx="24">
                  <c:v>537.82052092228878</c:v>
                </c:pt>
                <c:pt idx="25">
                  <c:v>561.34077633724098</c:v>
                </c:pt>
                <c:pt idx="26">
                  <c:v>584.86103175219318</c:v>
                </c:pt>
                <c:pt idx="27">
                  <c:v>608.3812871671455</c:v>
                </c:pt>
                <c:pt idx="28">
                  <c:v>631.90154258209782</c:v>
                </c:pt>
                <c:pt idx="29">
                  <c:v>655.42179799705002</c:v>
                </c:pt>
                <c:pt idx="30">
                  <c:v>678.94205341200222</c:v>
                </c:pt>
                <c:pt idx="31">
                  <c:v>702.46230882695454</c:v>
                </c:pt>
                <c:pt idx="32">
                  <c:v>711.0479592681728</c:v>
                </c:pt>
                <c:pt idx="33">
                  <c:v>719.63360970939118</c:v>
                </c:pt>
                <c:pt idx="34">
                  <c:v>728.21926015060944</c:v>
                </c:pt>
                <c:pt idx="35">
                  <c:v>736.80491059182782</c:v>
                </c:pt>
                <c:pt idx="36">
                  <c:v>745.39056103304597</c:v>
                </c:pt>
                <c:pt idx="37">
                  <c:v>753.97621147426435</c:v>
                </c:pt>
                <c:pt idx="38">
                  <c:v>762.56186191548272</c:v>
                </c:pt>
                <c:pt idx="39">
                  <c:v>771.1475123567011</c:v>
                </c:pt>
                <c:pt idx="40">
                  <c:v>779.73316279791948</c:v>
                </c:pt>
                <c:pt idx="41">
                  <c:v>788.31881323913785</c:v>
                </c:pt>
                <c:pt idx="42">
                  <c:v>796.90446368035612</c:v>
                </c:pt>
                <c:pt idx="43">
                  <c:v>805.49011412157449</c:v>
                </c:pt>
                <c:pt idx="44">
                  <c:v>814.07576456279287</c:v>
                </c:pt>
                <c:pt idx="45">
                  <c:v>822.66141500401125</c:v>
                </c:pt>
                <c:pt idx="46">
                  <c:v>831.24706544522962</c:v>
                </c:pt>
                <c:pt idx="47">
                  <c:v>833.20417436534444</c:v>
                </c:pt>
                <c:pt idx="48">
                  <c:v>835.16128328545938</c:v>
                </c:pt>
                <c:pt idx="49">
                  <c:v>837.1183922055742</c:v>
                </c:pt>
                <c:pt idx="50">
                  <c:v>839.07550112568913</c:v>
                </c:pt>
                <c:pt idx="51">
                  <c:v>841.03261004580395</c:v>
                </c:pt>
                <c:pt idx="52">
                  <c:v>842.98971896591888</c:v>
                </c:pt>
                <c:pt idx="53">
                  <c:v>844.9468278860337</c:v>
                </c:pt>
                <c:pt idx="54">
                  <c:v>846.90393680614886</c:v>
                </c:pt>
                <c:pt idx="55">
                  <c:v>848.86104572626368</c:v>
                </c:pt>
                <c:pt idx="56">
                  <c:v>850.8181546463785</c:v>
                </c:pt>
                <c:pt idx="57">
                  <c:v>852.77526356649332</c:v>
                </c:pt>
                <c:pt idx="58">
                  <c:v>854.73237248660837</c:v>
                </c:pt>
                <c:pt idx="59">
                  <c:v>856.68948140672319</c:v>
                </c:pt>
                <c:pt idx="60">
                  <c:v>858.64659032683812</c:v>
                </c:pt>
                <c:pt idx="61">
                  <c:v>860.60369924695294</c:v>
                </c:pt>
                <c:pt idx="62">
                  <c:v>862.56080816706788</c:v>
                </c:pt>
                <c:pt idx="63">
                  <c:v>864.5179170871827</c:v>
                </c:pt>
                <c:pt idx="64">
                  <c:v>866.47502600729774</c:v>
                </c:pt>
                <c:pt idx="65">
                  <c:v>868.43213492741256</c:v>
                </c:pt>
                <c:pt idx="66">
                  <c:v>870.38924384752761</c:v>
                </c:pt>
                <c:pt idx="67">
                  <c:v>872.34635276764243</c:v>
                </c:pt>
                <c:pt idx="68">
                  <c:v>874.30346168775725</c:v>
                </c:pt>
                <c:pt idx="69">
                  <c:v>876.26057060787207</c:v>
                </c:pt>
                <c:pt idx="70">
                  <c:v>878.21767952798712</c:v>
                </c:pt>
                <c:pt idx="71">
                  <c:v>880.17478844810194</c:v>
                </c:pt>
                <c:pt idx="72">
                  <c:v>882.13189736821687</c:v>
                </c:pt>
                <c:pt idx="73">
                  <c:v>884.08900628833169</c:v>
                </c:pt>
                <c:pt idx="74">
                  <c:v>886.04611520844662</c:v>
                </c:pt>
                <c:pt idx="75">
                  <c:v>888.00322412856144</c:v>
                </c:pt>
                <c:pt idx="76">
                  <c:v>889.96033304867638</c:v>
                </c:pt>
                <c:pt idx="77">
                  <c:v>891.91744196879119</c:v>
                </c:pt>
                <c:pt idx="78">
                  <c:v>893.87455088890624</c:v>
                </c:pt>
                <c:pt idx="79">
                  <c:v>895.83165980902118</c:v>
                </c:pt>
                <c:pt idx="80">
                  <c:v>897.78876872913611</c:v>
                </c:pt>
                <c:pt idx="81">
                  <c:v>899.74587764925082</c:v>
                </c:pt>
                <c:pt idx="82">
                  <c:v>901.70290828814018</c:v>
                </c:pt>
                <c:pt idx="83">
                  <c:v>903.65993892702954</c:v>
                </c:pt>
                <c:pt idx="84">
                  <c:v>905.61696956591879</c:v>
                </c:pt>
                <c:pt idx="85">
                  <c:v>907.57400020480827</c:v>
                </c:pt>
                <c:pt idx="86">
                  <c:v>909.53103084369764</c:v>
                </c:pt>
              </c:numCache>
            </c:numRef>
          </c:yVal>
          <c:smooth val="0"/>
          <c:extLst>
            <c:ext xmlns:c16="http://schemas.microsoft.com/office/drawing/2014/chart" uri="{C3380CC4-5D6E-409C-BE32-E72D297353CC}">
              <c16:uniqueId val="{00000000-A96C-4516-B64A-047518E58A74}"/>
            </c:ext>
          </c:extLst>
        </c:ser>
        <c:ser>
          <c:idx val="1"/>
          <c:order val="1"/>
          <c:tx>
            <c:strRef>
              <c:f>'Damage Curves - Com'!$G$31</c:f>
              <c:strCache>
                <c:ptCount val="1"/>
                <c:pt idx="0">
                  <c:v>Low to Medium</c:v>
                </c:pt>
              </c:strCache>
            </c:strRef>
          </c:tx>
          <c:spPr>
            <a:ln w="28575" cap="rnd">
              <a:solidFill>
                <a:schemeClr val="accent5">
                  <a:tint val="86000"/>
                </a:schemeClr>
              </a:solidFill>
              <a:prstDash val="sysDash"/>
              <a:round/>
            </a:ln>
            <a:effectLst/>
          </c:spPr>
          <c:marker>
            <c:symbol val="none"/>
          </c:marker>
          <c:xVal>
            <c:numRef>
              <c:f>'Damage Curves - Com'!$E$32:$E$118</c:f>
              <c:numCache>
                <c:formatCode>0.00</c:formatCode>
                <c:ptCount val="8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pt idx="67">
                  <c:v>3.05</c:v>
                </c:pt>
                <c:pt idx="68">
                  <c:v>3.1</c:v>
                </c:pt>
                <c:pt idx="69">
                  <c:v>3.15</c:v>
                </c:pt>
                <c:pt idx="70">
                  <c:v>3.2</c:v>
                </c:pt>
                <c:pt idx="71">
                  <c:v>3.25</c:v>
                </c:pt>
                <c:pt idx="72">
                  <c:v>3.3</c:v>
                </c:pt>
                <c:pt idx="73">
                  <c:v>3.35</c:v>
                </c:pt>
                <c:pt idx="74">
                  <c:v>3.4</c:v>
                </c:pt>
                <c:pt idx="75">
                  <c:v>3.45</c:v>
                </c:pt>
                <c:pt idx="76">
                  <c:v>3.5</c:v>
                </c:pt>
                <c:pt idx="77">
                  <c:v>3.55</c:v>
                </c:pt>
                <c:pt idx="78">
                  <c:v>3.6</c:v>
                </c:pt>
                <c:pt idx="79">
                  <c:v>3.65</c:v>
                </c:pt>
                <c:pt idx="80">
                  <c:v>3.7</c:v>
                </c:pt>
                <c:pt idx="81">
                  <c:v>3.75</c:v>
                </c:pt>
                <c:pt idx="82">
                  <c:v>3.8</c:v>
                </c:pt>
                <c:pt idx="83">
                  <c:v>3.85</c:v>
                </c:pt>
                <c:pt idx="84">
                  <c:v>3.9</c:v>
                </c:pt>
                <c:pt idx="85">
                  <c:v>3.95</c:v>
                </c:pt>
                <c:pt idx="86">
                  <c:v>4</c:v>
                </c:pt>
              </c:numCache>
            </c:numRef>
          </c:xVal>
          <c:yVal>
            <c:numRef>
              <c:f>'Damage Curves - Com'!$G$32:$G$118</c:f>
              <c:numCache>
                <c:formatCode>"$"#,##0</c:formatCode>
                <c:ptCount val="87"/>
                <c:pt idx="0">
                  <c:v>0</c:v>
                </c:pt>
                <c:pt idx="1">
                  <c:v>0</c:v>
                </c:pt>
                <c:pt idx="2">
                  <c:v>0</c:v>
                </c:pt>
                <c:pt idx="3">
                  <c:v>0</c:v>
                </c:pt>
                <c:pt idx="4">
                  <c:v>0</c:v>
                </c:pt>
                <c:pt idx="5">
                  <c:v>0</c:v>
                </c:pt>
                <c:pt idx="6">
                  <c:v>0</c:v>
                </c:pt>
                <c:pt idx="7">
                  <c:v>65.333488083223358</c:v>
                </c:pt>
                <c:pt idx="8">
                  <c:v>130.66697616644672</c:v>
                </c:pt>
                <c:pt idx="9">
                  <c:v>196.00046424967007</c:v>
                </c:pt>
                <c:pt idx="10">
                  <c:v>261.33395233289343</c:v>
                </c:pt>
                <c:pt idx="11">
                  <c:v>326.66744041611685</c:v>
                </c:pt>
                <c:pt idx="12">
                  <c:v>354.07695054731778</c:v>
                </c:pt>
                <c:pt idx="13">
                  <c:v>381.48646067851882</c:v>
                </c:pt>
                <c:pt idx="14">
                  <c:v>408.89597080971976</c:v>
                </c:pt>
                <c:pt idx="15">
                  <c:v>436.3054809409208</c:v>
                </c:pt>
                <c:pt idx="16">
                  <c:v>463.71499107212173</c:v>
                </c:pt>
                <c:pt idx="17">
                  <c:v>491.12450120332278</c:v>
                </c:pt>
                <c:pt idx="18">
                  <c:v>518.53401133452371</c:v>
                </c:pt>
                <c:pt idx="19">
                  <c:v>545.94352146572476</c:v>
                </c:pt>
                <c:pt idx="20">
                  <c:v>573.3530315969258</c:v>
                </c:pt>
                <c:pt idx="21">
                  <c:v>600.76254172812673</c:v>
                </c:pt>
                <c:pt idx="22">
                  <c:v>631.00287011877958</c:v>
                </c:pt>
                <c:pt idx="23">
                  <c:v>661.24319850943266</c:v>
                </c:pt>
                <c:pt idx="24">
                  <c:v>691.48352690008551</c:v>
                </c:pt>
                <c:pt idx="25">
                  <c:v>721.72385529073836</c:v>
                </c:pt>
                <c:pt idx="26">
                  <c:v>751.96418368139121</c:v>
                </c:pt>
                <c:pt idx="27">
                  <c:v>782.20451207204417</c:v>
                </c:pt>
                <c:pt idx="28">
                  <c:v>812.44484046269724</c:v>
                </c:pt>
                <c:pt idx="29">
                  <c:v>842.68516885334998</c:v>
                </c:pt>
                <c:pt idx="30">
                  <c:v>872.92549724400283</c:v>
                </c:pt>
                <c:pt idx="31">
                  <c:v>903.16582563465579</c:v>
                </c:pt>
                <c:pt idx="32">
                  <c:v>914.2045190590793</c:v>
                </c:pt>
                <c:pt idx="33">
                  <c:v>925.24321248350293</c:v>
                </c:pt>
                <c:pt idx="34">
                  <c:v>936.28190590792633</c:v>
                </c:pt>
                <c:pt idx="35">
                  <c:v>947.32059933234996</c:v>
                </c:pt>
                <c:pt idx="36">
                  <c:v>958.35929275677336</c:v>
                </c:pt>
                <c:pt idx="37">
                  <c:v>969.39798618119698</c:v>
                </c:pt>
                <c:pt idx="38">
                  <c:v>980.43667960562061</c:v>
                </c:pt>
                <c:pt idx="39">
                  <c:v>991.47537303004424</c:v>
                </c:pt>
                <c:pt idx="40">
                  <c:v>1002.5140664544679</c:v>
                </c:pt>
                <c:pt idx="41">
                  <c:v>1013.5527598788915</c:v>
                </c:pt>
                <c:pt idx="42">
                  <c:v>1024.5914533033151</c:v>
                </c:pt>
                <c:pt idx="43">
                  <c:v>1035.6301467277385</c:v>
                </c:pt>
                <c:pt idx="44">
                  <c:v>1046.6688401521624</c:v>
                </c:pt>
                <c:pt idx="45">
                  <c:v>1057.7075335765858</c:v>
                </c:pt>
                <c:pt idx="46">
                  <c:v>1068.7462270010096</c:v>
                </c:pt>
                <c:pt idx="47">
                  <c:v>1071.2625098982999</c:v>
                </c:pt>
                <c:pt idx="48">
                  <c:v>1073.7787927955906</c:v>
                </c:pt>
                <c:pt idx="49">
                  <c:v>1076.295075692881</c:v>
                </c:pt>
                <c:pt idx="50">
                  <c:v>1078.8113585901717</c:v>
                </c:pt>
                <c:pt idx="51">
                  <c:v>1081.3276414874622</c:v>
                </c:pt>
                <c:pt idx="52">
                  <c:v>1083.8439243847529</c:v>
                </c:pt>
                <c:pt idx="53">
                  <c:v>1086.3602072820431</c:v>
                </c:pt>
                <c:pt idx="54">
                  <c:v>1088.8764901793343</c:v>
                </c:pt>
                <c:pt idx="55">
                  <c:v>1091.3927730766247</c:v>
                </c:pt>
                <c:pt idx="56">
                  <c:v>1093.9090559739152</c:v>
                </c:pt>
                <c:pt idx="57">
                  <c:v>1096.4253388712057</c:v>
                </c:pt>
                <c:pt idx="58">
                  <c:v>1098.9416217684966</c:v>
                </c:pt>
                <c:pt idx="59">
                  <c:v>1101.4579046657868</c:v>
                </c:pt>
                <c:pt idx="60">
                  <c:v>1103.9741875630775</c:v>
                </c:pt>
                <c:pt idx="61">
                  <c:v>1106.490470460368</c:v>
                </c:pt>
                <c:pt idx="62">
                  <c:v>1109.0067533576587</c:v>
                </c:pt>
                <c:pt idx="63">
                  <c:v>1111.5230362549491</c:v>
                </c:pt>
                <c:pt idx="64">
                  <c:v>1114.0393191522398</c:v>
                </c:pt>
                <c:pt idx="65">
                  <c:v>1116.5556020495303</c:v>
                </c:pt>
                <c:pt idx="66">
                  <c:v>1119.0718849468212</c:v>
                </c:pt>
                <c:pt idx="67">
                  <c:v>1121.5881678441117</c:v>
                </c:pt>
                <c:pt idx="68">
                  <c:v>1124.1044507414022</c:v>
                </c:pt>
                <c:pt idx="69">
                  <c:v>1126.6207336386926</c:v>
                </c:pt>
                <c:pt idx="70">
                  <c:v>1129.1370165359835</c:v>
                </c:pt>
                <c:pt idx="71">
                  <c:v>1131.6532994332738</c:v>
                </c:pt>
                <c:pt idx="72">
                  <c:v>1134.1695823305645</c:v>
                </c:pt>
                <c:pt idx="73">
                  <c:v>1136.6858652278549</c:v>
                </c:pt>
                <c:pt idx="74">
                  <c:v>1139.2021481251456</c:v>
                </c:pt>
                <c:pt idx="75">
                  <c:v>1141.7184310224361</c:v>
                </c:pt>
                <c:pt idx="76">
                  <c:v>1144.2347139197268</c:v>
                </c:pt>
                <c:pt idx="77">
                  <c:v>1146.750996817017</c:v>
                </c:pt>
                <c:pt idx="78">
                  <c:v>1149.267279714308</c:v>
                </c:pt>
                <c:pt idx="79">
                  <c:v>1151.7835626115987</c:v>
                </c:pt>
                <c:pt idx="80">
                  <c:v>1154.2998455088891</c:v>
                </c:pt>
                <c:pt idx="81">
                  <c:v>1156.8161284061796</c:v>
                </c:pt>
                <c:pt idx="82">
                  <c:v>1159.3323106561802</c:v>
                </c:pt>
                <c:pt idx="83">
                  <c:v>1161.8484929061808</c:v>
                </c:pt>
                <c:pt idx="84">
                  <c:v>1164.3646751561814</c:v>
                </c:pt>
                <c:pt idx="85">
                  <c:v>1166.880857406182</c:v>
                </c:pt>
                <c:pt idx="86">
                  <c:v>1169.3970396561826</c:v>
                </c:pt>
              </c:numCache>
            </c:numRef>
          </c:yVal>
          <c:smooth val="0"/>
          <c:extLst>
            <c:ext xmlns:c16="http://schemas.microsoft.com/office/drawing/2014/chart" uri="{C3380CC4-5D6E-409C-BE32-E72D297353CC}">
              <c16:uniqueId val="{00000001-A96C-4516-B64A-047518E58A74}"/>
            </c:ext>
          </c:extLst>
        </c:ser>
        <c:ser>
          <c:idx val="2"/>
          <c:order val="2"/>
          <c:tx>
            <c:strRef>
              <c:f>'Damage Curves - Com'!$H$31</c:f>
              <c:strCache>
                <c:ptCount val="1"/>
                <c:pt idx="0">
                  <c:v>Default Average (CPI Adjusted)</c:v>
                </c:pt>
              </c:strCache>
            </c:strRef>
          </c:tx>
          <c:spPr>
            <a:ln w="28575" cap="rnd">
              <a:solidFill>
                <a:schemeClr val="accent5">
                  <a:shade val="86000"/>
                </a:schemeClr>
              </a:solidFill>
              <a:round/>
            </a:ln>
            <a:effectLst/>
          </c:spPr>
          <c:marker>
            <c:symbol val="none"/>
          </c:marker>
          <c:xVal>
            <c:numRef>
              <c:f>'Damage Curves - Com'!$E$32:$E$118</c:f>
              <c:numCache>
                <c:formatCode>0.00</c:formatCode>
                <c:ptCount val="8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pt idx="67">
                  <c:v>3.05</c:v>
                </c:pt>
                <c:pt idx="68">
                  <c:v>3.1</c:v>
                </c:pt>
                <c:pt idx="69">
                  <c:v>3.15</c:v>
                </c:pt>
                <c:pt idx="70">
                  <c:v>3.2</c:v>
                </c:pt>
                <c:pt idx="71">
                  <c:v>3.25</c:v>
                </c:pt>
                <c:pt idx="72">
                  <c:v>3.3</c:v>
                </c:pt>
                <c:pt idx="73">
                  <c:v>3.35</c:v>
                </c:pt>
                <c:pt idx="74">
                  <c:v>3.4</c:v>
                </c:pt>
                <c:pt idx="75">
                  <c:v>3.45</c:v>
                </c:pt>
                <c:pt idx="76">
                  <c:v>3.5</c:v>
                </c:pt>
                <c:pt idx="77">
                  <c:v>3.55</c:v>
                </c:pt>
                <c:pt idx="78">
                  <c:v>3.6</c:v>
                </c:pt>
                <c:pt idx="79">
                  <c:v>3.65</c:v>
                </c:pt>
                <c:pt idx="80">
                  <c:v>3.7</c:v>
                </c:pt>
                <c:pt idx="81">
                  <c:v>3.75</c:v>
                </c:pt>
                <c:pt idx="82">
                  <c:v>3.8</c:v>
                </c:pt>
                <c:pt idx="83">
                  <c:v>3.85</c:v>
                </c:pt>
                <c:pt idx="84">
                  <c:v>3.9</c:v>
                </c:pt>
                <c:pt idx="85">
                  <c:v>3.95</c:v>
                </c:pt>
                <c:pt idx="86">
                  <c:v>4</c:v>
                </c:pt>
              </c:numCache>
            </c:numRef>
          </c:xVal>
          <c:yVal>
            <c:numRef>
              <c:f>'Damage Curves - Com'!$H$32:$H$118</c:f>
              <c:numCache>
                <c:formatCode>"$"#,##0</c:formatCode>
                <c:ptCount val="87"/>
                <c:pt idx="0">
                  <c:v>0</c:v>
                </c:pt>
                <c:pt idx="1">
                  <c:v>0</c:v>
                </c:pt>
                <c:pt idx="2">
                  <c:v>0</c:v>
                </c:pt>
                <c:pt idx="3">
                  <c:v>0</c:v>
                </c:pt>
                <c:pt idx="4">
                  <c:v>0</c:v>
                </c:pt>
                <c:pt idx="5">
                  <c:v>0</c:v>
                </c:pt>
                <c:pt idx="6">
                  <c:v>0</c:v>
                </c:pt>
                <c:pt idx="7">
                  <c:v>94.370593897989295</c:v>
                </c:pt>
                <c:pt idx="8">
                  <c:v>188.74118779597859</c:v>
                </c:pt>
                <c:pt idx="9">
                  <c:v>283.11178169396794</c:v>
                </c:pt>
                <c:pt idx="10">
                  <c:v>377.48237559195718</c:v>
                </c:pt>
                <c:pt idx="11">
                  <c:v>471.85296948994653</c:v>
                </c:pt>
                <c:pt idx="12">
                  <c:v>511.44448412390341</c:v>
                </c:pt>
                <c:pt idx="13">
                  <c:v>551.03599875786051</c:v>
                </c:pt>
                <c:pt idx="14">
                  <c:v>590.6275133918175</c:v>
                </c:pt>
                <c:pt idx="15">
                  <c:v>630.21902802577449</c:v>
                </c:pt>
                <c:pt idx="16">
                  <c:v>669.81054265973148</c:v>
                </c:pt>
                <c:pt idx="17">
                  <c:v>709.40205729368859</c:v>
                </c:pt>
                <c:pt idx="18">
                  <c:v>748.99357192764535</c:v>
                </c:pt>
                <c:pt idx="19">
                  <c:v>788.58508656160234</c:v>
                </c:pt>
                <c:pt idx="20">
                  <c:v>828.17660119555944</c:v>
                </c:pt>
                <c:pt idx="21">
                  <c:v>867.76811582951643</c:v>
                </c:pt>
                <c:pt idx="22">
                  <c:v>911.44859017157069</c:v>
                </c:pt>
                <c:pt idx="23">
                  <c:v>955.12906451362494</c:v>
                </c:pt>
                <c:pt idx="24">
                  <c:v>998.80953885567919</c:v>
                </c:pt>
                <c:pt idx="25">
                  <c:v>1042.4900131977333</c:v>
                </c:pt>
                <c:pt idx="26">
                  <c:v>1086.1704875397875</c:v>
                </c:pt>
                <c:pt idx="27">
                  <c:v>1129.8509618818416</c:v>
                </c:pt>
                <c:pt idx="28">
                  <c:v>1173.531436223896</c:v>
                </c:pt>
                <c:pt idx="29">
                  <c:v>1217.2119105659499</c:v>
                </c:pt>
                <c:pt idx="30">
                  <c:v>1260.8923849080043</c:v>
                </c:pt>
                <c:pt idx="31">
                  <c:v>1304.5728592500584</c:v>
                </c:pt>
                <c:pt idx="32">
                  <c:v>1320.5176386408923</c:v>
                </c:pt>
                <c:pt idx="33">
                  <c:v>1336.4624180317264</c:v>
                </c:pt>
                <c:pt idx="34">
                  <c:v>1352.4071974225603</c:v>
                </c:pt>
                <c:pt idx="35">
                  <c:v>1368.3519768133945</c:v>
                </c:pt>
                <c:pt idx="36">
                  <c:v>1384.2967562042284</c:v>
                </c:pt>
                <c:pt idx="37">
                  <c:v>1400.2415355950625</c:v>
                </c:pt>
                <c:pt idx="38">
                  <c:v>1416.1863149858966</c:v>
                </c:pt>
                <c:pt idx="39">
                  <c:v>1432.1310943767307</c:v>
                </c:pt>
                <c:pt idx="40">
                  <c:v>1448.0758737675649</c:v>
                </c:pt>
                <c:pt idx="41">
                  <c:v>1464.020653158399</c:v>
                </c:pt>
                <c:pt idx="42">
                  <c:v>1479.9654325492329</c:v>
                </c:pt>
                <c:pt idx="43">
                  <c:v>1495.9102119400668</c:v>
                </c:pt>
                <c:pt idx="44">
                  <c:v>1511.8549913309012</c:v>
                </c:pt>
                <c:pt idx="45">
                  <c:v>1527.7997707217351</c:v>
                </c:pt>
                <c:pt idx="46">
                  <c:v>1543.7445501125694</c:v>
                </c:pt>
                <c:pt idx="47">
                  <c:v>1547.3791809642112</c:v>
                </c:pt>
                <c:pt idx="48">
                  <c:v>1551.0138118158529</c:v>
                </c:pt>
                <c:pt idx="49">
                  <c:v>1554.6484426674949</c:v>
                </c:pt>
                <c:pt idx="50">
                  <c:v>1558.2830735191369</c:v>
                </c:pt>
                <c:pt idx="51">
                  <c:v>1561.9177043707789</c:v>
                </c:pt>
                <c:pt idx="52">
                  <c:v>1565.5523352224207</c:v>
                </c:pt>
                <c:pt idx="53">
                  <c:v>1569.1869660740626</c:v>
                </c:pt>
                <c:pt idx="54">
                  <c:v>1572.8215969257049</c:v>
                </c:pt>
                <c:pt idx="55">
                  <c:v>1576.4562277773468</c:v>
                </c:pt>
                <c:pt idx="56">
                  <c:v>1580.0908586289886</c:v>
                </c:pt>
                <c:pt idx="57">
                  <c:v>1583.7254894806306</c:v>
                </c:pt>
                <c:pt idx="58">
                  <c:v>1587.3601203322728</c:v>
                </c:pt>
                <c:pt idx="59">
                  <c:v>1590.9947511839146</c:v>
                </c:pt>
                <c:pt idx="60">
                  <c:v>1594.6293820355563</c:v>
                </c:pt>
                <c:pt idx="61">
                  <c:v>1598.2640128871983</c:v>
                </c:pt>
                <c:pt idx="62">
                  <c:v>1601.8986437388403</c:v>
                </c:pt>
                <c:pt idx="63">
                  <c:v>1605.5332745904823</c:v>
                </c:pt>
                <c:pt idx="64">
                  <c:v>1609.1679054421243</c:v>
                </c:pt>
                <c:pt idx="65">
                  <c:v>1612.8025362937663</c:v>
                </c:pt>
                <c:pt idx="66">
                  <c:v>1616.4371671454082</c:v>
                </c:pt>
                <c:pt idx="67">
                  <c:v>1620.0717979970502</c:v>
                </c:pt>
                <c:pt idx="68">
                  <c:v>1623.706428848692</c:v>
                </c:pt>
                <c:pt idx="69">
                  <c:v>1627.341059700334</c:v>
                </c:pt>
                <c:pt idx="70">
                  <c:v>1630.9756905519762</c:v>
                </c:pt>
                <c:pt idx="71">
                  <c:v>1634.6103214036179</c:v>
                </c:pt>
                <c:pt idx="72">
                  <c:v>1638.2449522552597</c:v>
                </c:pt>
                <c:pt idx="73">
                  <c:v>1641.8795831069017</c:v>
                </c:pt>
                <c:pt idx="74">
                  <c:v>1645.5142139585437</c:v>
                </c:pt>
                <c:pt idx="75">
                  <c:v>1649.1488448101857</c:v>
                </c:pt>
                <c:pt idx="76">
                  <c:v>1652.7834756618274</c:v>
                </c:pt>
                <c:pt idx="77">
                  <c:v>1656.4181065134694</c:v>
                </c:pt>
                <c:pt idx="78">
                  <c:v>1660.0527373651114</c:v>
                </c:pt>
                <c:pt idx="79">
                  <c:v>1663.6873682167536</c:v>
                </c:pt>
                <c:pt idx="80">
                  <c:v>1667.3219990683954</c:v>
                </c:pt>
                <c:pt idx="81">
                  <c:v>1670.9566299200374</c:v>
                </c:pt>
                <c:pt idx="82">
                  <c:v>1674.5911153922605</c:v>
                </c:pt>
                <c:pt idx="83">
                  <c:v>1678.2256008644836</c:v>
                </c:pt>
                <c:pt idx="84">
                  <c:v>1681.8600863367064</c:v>
                </c:pt>
                <c:pt idx="85">
                  <c:v>1685.4945718089298</c:v>
                </c:pt>
                <c:pt idx="86">
                  <c:v>1689.1290572811529</c:v>
                </c:pt>
              </c:numCache>
            </c:numRef>
          </c:yVal>
          <c:smooth val="0"/>
          <c:extLst>
            <c:ext xmlns:c16="http://schemas.microsoft.com/office/drawing/2014/chart" uri="{C3380CC4-5D6E-409C-BE32-E72D297353CC}">
              <c16:uniqueId val="{00000002-A96C-4516-B64A-047518E58A74}"/>
            </c:ext>
          </c:extLst>
        </c:ser>
        <c:ser>
          <c:idx val="3"/>
          <c:order val="3"/>
          <c:tx>
            <c:strRef>
              <c:f>'Damage Curves - Com'!$I$31</c:f>
              <c:strCache>
                <c:ptCount val="1"/>
                <c:pt idx="0">
                  <c:v>Medium to High</c:v>
                </c:pt>
              </c:strCache>
            </c:strRef>
          </c:tx>
          <c:spPr>
            <a:ln w="28575" cap="rnd">
              <a:solidFill>
                <a:schemeClr val="accent5">
                  <a:shade val="58000"/>
                </a:schemeClr>
              </a:solidFill>
              <a:prstDash val="dash"/>
              <a:round/>
            </a:ln>
            <a:effectLst/>
          </c:spPr>
          <c:marker>
            <c:symbol val="none"/>
          </c:marker>
          <c:xVal>
            <c:numRef>
              <c:f>'Damage Curves - Com'!$E$32:$E$118</c:f>
              <c:numCache>
                <c:formatCode>0.00</c:formatCode>
                <c:ptCount val="8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pt idx="67">
                  <c:v>3.05</c:v>
                </c:pt>
                <c:pt idx="68">
                  <c:v>3.1</c:v>
                </c:pt>
                <c:pt idx="69">
                  <c:v>3.15</c:v>
                </c:pt>
                <c:pt idx="70">
                  <c:v>3.2</c:v>
                </c:pt>
                <c:pt idx="71">
                  <c:v>3.25</c:v>
                </c:pt>
                <c:pt idx="72">
                  <c:v>3.3</c:v>
                </c:pt>
                <c:pt idx="73">
                  <c:v>3.35</c:v>
                </c:pt>
                <c:pt idx="74">
                  <c:v>3.4</c:v>
                </c:pt>
                <c:pt idx="75">
                  <c:v>3.45</c:v>
                </c:pt>
                <c:pt idx="76">
                  <c:v>3.5</c:v>
                </c:pt>
                <c:pt idx="77">
                  <c:v>3.55</c:v>
                </c:pt>
                <c:pt idx="78">
                  <c:v>3.6</c:v>
                </c:pt>
                <c:pt idx="79">
                  <c:v>3.65</c:v>
                </c:pt>
                <c:pt idx="80">
                  <c:v>3.7</c:v>
                </c:pt>
                <c:pt idx="81">
                  <c:v>3.75</c:v>
                </c:pt>
                <c:pt idx="82">
                  <c:v>3.8</c:v>
                </c:pt>
                <c:pt idx="83">
                  <c:v>3.85</c:v>
                </c:pt>
                <c:pt idx="84">
                  <c:v>3.9</c:v>
                </c:pt>
                <c:pt idx="85">
                  <c:v>3.95</c:v>
                </c:pt>
                <c:pt idx="86">
                  <c:v>4</c:v>
                </c:pt>
              </c:numCache>
            </c:numRef>
          </c:xVal>
          <c:yVal>
            <c:numRef>
              <c:f>'Damage Curves - Com'!$I$32:$I$118</c:f>
              <c:numCache>
                <c:formatCode>"$"#,##0</c:formatCode>
                <c:ptCount val="87"/>
                <c:pt idx="0">
                  <c:v>0</c:v>
                </c:pt>
                <c:pt idx="1">
                  <c:v>0</c:v>
                </c:pt>
                <c:pt idx="2">
                  <c:v>0</c:v>
                </c:pt>
                <c:pt idx="3">
                  <c:v>0</c:v>
                </c:pt>
                <c:pt idx="4">
                  <c:v>0</c:v>
                </c:pt>
                <c:pt idx="5">
                  <c:v>0</c:v>
                </c:pt>
                <c:pt idx="6">
                  <c:v>0</c:v>
                </c:pt>
                <c:pt idx="7">
                  <c:v>130.66697616644672</c:v>
                </c:pt>
                <c:pt idx="8">
                  <c:v>261.33395233289343</c:v>
                </c:pt>
                <c:pt idx="9">
                  <c:v>392.0009284993402</c:v>
                </c:pt>
                <c:pt idx="10">
                  <c:v>522.66790466578686</c:v>
                </c:pt>
                <c:pt idx="11">
                  <c:v>653.33488083223369</c:v>
                </c:pt>
                <c:pt idx="12">
                  <c:v>708.15390109463556</c:v>
                </c:pt>
                <c:pt idx="13">
                  <c:v>762.97292135703754</c:v>
                </c:pt>
                <c:pt idx="14">
                  <c:v>817.79194161943951</c:v>
                </c:pt>
                <c:pt idx="15">
                  <c:v>872.6109618818416</c:v>
                </c:pt>
                <c:pt idx="16">
                  <c:v>927.42998214424358</c:v>
                </c:pt>
                <c:pt idx="17">
                  <c:v>982.24900240664567</c:v>
                </c:pt>
                <c:pt idx="18">
                  <c:v>1037.0680226690474</c:v>
                </c:pt>
                <c:pt idx="19">
                  <c:v>1091.8870429314495</c:v>
                </c:pt>
                <c:pt idx="20">
                  <c:v>1146.7060631938516</c:v>
                </c:pt>
                <c:pt idx="21">
                  <c:v>1201.5250834562535</c:v>
                </c:pt>
                <c:pt idx="22">
                  <c:v>1262.0057402375594</c:v>
                </c:pt>
                <c:pt idx="23">
                  <c:v>1322.4863970188655</c:v>
                </c:pt>
                <c:pt idx="24">
                  <c:v>1382.967053800171</c:v>
                </c:pt>
                <c:pt idx="25">
                  <c:v>1443.4477105814767</c:v>
                </c:pt>
                <c:pt idx="26">
                  <c:v>1503.9283673627826</c:v>
                </c:pt>
                <c:pt idx="27">
                  <c:v>1564.4090241440886</c:v>
                </c:pt>
                <c:pt idx="28">
                  <c:v>1624.8896809253943</c:v>
                </c:pt>
                <c:pt idx="29">
                  <c:v>1685.3703377067</c:v>
                </c:pt>
                <c:pt idx="30">
                  <c:v>1745.8509944880059</c:v>
                </c:pt>
                <c:pt idx="31">
                  <c:v>1806.3316512693118</c:v>
                </c:pt>
                <c:pt idx="32">
                  <c:v>1828.4090381181586</c:v>
                </c:pt>
                <c:pt idx="33">
                  <c:v>1850.4864249670059</c:v>
                </c:pt>
                <c:pt idx="34">
                  <c:v>1872.5638118158529</c:v>
                </c:pt>
                <c:pt idx="35">
                  <c:v>1894.6411986646999</c:v>
                </c:pt>
                <c:pt idx="36">
                  <c:v>1916.7185855135469</c:v>
                </c:pt>
                <c:pt idx="37">
                  <c:v>1938.7959723623942</c:v>
                </c:pt>
                <c:pt idx="38">
                  <c:v>1960.8733592112414</c:v>
                </c:pt>
                <c:pt idx="39">
                  <c:v>1982.9507460600887</c:v>
                </c:pt>
                <c:pt idx="40">
                  <c:v>2005.028132908936</c:v>
                </c:pt>
                <c:pt idx="41">
                  <c:v>2027.1055197577832</c:v>
                </c:pt>
                <c:pt idx="42">
                  <c:v>2049.1829066066298</c:v>
                </c:pt>
                <c:pt idx="43">
                  <c:v>2071.2602934554775</c:v>
                </c:pt>
                <c:pt idx="44">
                  <c:v>2093.3376803043243</c:v>
                </c:pt>
                <c:pt idx="45">
                  <c:v>2115.415067153172</c:v>
                </c:pt>
                <c:pt idx="46">
                  <c:v>2137.4924540020188</c:v>
                </c:pt>
                <c:pt idx="47">
                  <c:v>2142.5250197965997</c:v>
                </c:pt>
                <c:pt idx="48">
                  <c:v>2147.5575855911811</c:v>
                </c:pt>
                <c:pt idx="49">
                  <c:v>2152.5901513857621</c:v>
                </c:pt>
                <c:pt idx="50">
                  <c:v>2157.6227171803434</c:v>
                </c:pt>
                <c:pt idx="51">
                  <c:v>2162.6552829749244</c:v>
                </c:pt>
                <c:pt idx="52">
                  <c:v>2167.6878487695058</c:v>
                </c:pt>
                <c:pt idx="53">
                  <c:v>2172.7204145640867</c:v>
                </c:pt>
                <c:pt idx="54">
                  <c:v>2177.7529803586685</c:v>
                </c:pt>
                <c:pt idx="55">
                  <c:v>2182.7855461532495</c:v>
                </c:pt>
                <c:pt idx="56">
                  <c:v>2187.8181119478304</c:v>
                </c:pt>
                <c:pt idx="57">
                  <c:v>2192.8506777424113</c:v>
                </c:pt>
                <c:pt idx="58">
                  <c:v>2197.8832435369927</c:v>
                </c:pt>
                <c:pt idx="59">
                  <c:v>2202.9158093315737</c:v>
                </c:pt>
                <c:pt idx="60">
                  <c:v>2207.948375126155</c:v>
                </c:pt>
                <c:pt idx="61">
                  <c:v>2212.980940920736</c:v>
                </c:pt>
                <c:pt idx="62">
                  <c:v>2218.0135067153174</c:v>
                </c:pt>
                <c:pt idx="63">
                  <c:v>2223.0460725098983</c:v>
                </c:pt>
                <c:pt idx="64">
                  <c:v>2228.0786383044801</c:v>
                </c:pt>
                <c:pt idx="65">
                  <c:v>2233.1112040990611</c:v>
                </c:pt>
                <c:pt idx="66">
                  <c:v>2238.1437698936425</c:v>
                </c:pt>
                <c:pt idx="67">
                  <c:v>2243.1763356882234</c:v>
                </c:pt>
                <c:pt idx="68">
                  <c:v>2248.2089014828043</c:v>
                </c:pt>
                <c:pt idx="69">
                  <c:v>2253.2414672773853</c:v>
                </c:pt>
                <c:pt idx="70">
                  <c:v>2258.2740330719666</c:v>
                </c:pt>
                <c:pt idx="71">
                  <c:v>2263.3065988665476</c:v>
                </c:pt>
                <c:pt idx="72">
                  <c:v>2268.339164661129</c:v>
                </c:pt>
                <c:pt idx="73">
                  <c:v>2273.3717304557099</c:v>
                </c:pt>
                <c:pt idx="74">
                  <c:v>2278.4042962502913</c:v>
                </c:pt>
                <c:pt idx="75">
                  <c:v>2283.4368620448722</c:v>
                </c:pt>
                <c:pt idx="76">
                  <c:v>2288.4694278394536</c:v>
                </c:pt>
                <c:pt idx="77">
                  <c:v>2293.5019936340345</c:v>
                </c:pt>
                <c:pt idx="78">
                  <c:v>2298.5345594286159</c:v>
                </c:pt>
                <c:pt idx="79">
                  <c:v>2303.5671252231973</c:v>
                </c:pt>
                <c:pt idx="80">
                  <c:v>2308.5996910177782</c:v>
                </c:pt>
                <c:pt idx="81">
                  <c:v>2313.6322568123592</c:v>
                </c:pt>
                <c:pt idx="82">
                  <c:v>2318.6646213123604</c:v>
                </c:pt>
                <c:pt idx="83">
                  <c:v>2323.6969858123616</c:v>
                </c:pt>
                <c:pt idx="84">
                  <c:v>2328.7293503123624</c:v>
                </c:pt>
                <c:pt idx="85">
                  <c:v>2333.7617148123641</c:v>
                </c:pt>
                <c:pt idx="86">
                  <c:v>2338.7940793123653</c:v>
                </c:pt>
              </c:numCache>
            </c:numRef>
          </c:yVal>
          <c:smooth val="0"/>
          <c:extLst>
            <c:ext xmlns:c16="http://schemas.microsoft.com/office/drawing/2014/chart" uri="{C3380CC4-5D6E-409C-BE32-E72D297353CC}">
              <c16:uniqueId val="{00000003-A96C-4516-B64A-047518E58A74}"/>
            </c:ext>
          </c:extLst>
        </c:ser>
        <c:dLbls>
          <c:showLegendKey val="0"/>
          <c:showVal val="0"/>
          <c:showCatName val="0"/>
          <c:showSerName val="0"/>
          <c:showPercent val="0"/>
          <c:showBubbleSize val="0"/>
        </c:dLbls>
        <c:axId val="295798975"/>
        <c:axId val="46791423"/>
      </c:scatterChart>
      <c:valAx>
        <c:axId val="295798975"/>
        <c:scaling>
          <c:orientation val="minMax"/>
          <c:max val="4"/>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strRef>
              <c:f>'Damage Curves - Com'!$E$31</c:f>
              <c:strCache>
                <c:ptCount val="1"/>
                <c:pt idx="0">
                  <c:v>Depth Above Floor Level (m)</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91423"/>
        <c:crosses val="autoZero"/>
        <c:crossBetween val="midCat"/>
      </c:valAx>
      <c:valAx>
        <c:axId val="46791423"/>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strRef>
              <c:f>'Damage Curves - Com'!$E$28</c:f>
              <c:strCache>
                <c:ptCount val="1"/>
                <c:pt idx="0">
                  <c:v>Potential Total Damage (2019, $/m2)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579897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120" normalizeH="0" baseline="0">
                <a:solidFill>
                  <a:schemeClr val="tx1">
                    <a:lumMod val="65000"/>
                    <a:lumOff val="35000"/>
                  </a:schemeClr>
                </a:solidFill>
                <a:latin typeface="+mn-lt"/>
                <a:ea typeface="+mn-ea"/>
                <a:cs typeface="+mn-cs"/>
              </a:defRPr>
            </a:pPr>
            <a:r>
              <a:rPr lang="en-AU"/>
              <a:t>Residential: Double Storey</a:t>
            </a:r>
          </a:p>
        </c:rich>
      </c:tx>
      <c:overlay val="0"/>
      <c:spPr>
        <a:noFill/>
        <a:ln>
          <a:noFill/>
        </a:ln>
        <a:effectLst/>
      </c:spPr>
      <c:txPr>
        <a:bodyPr rot="0" spcFirstLastPara="1" vertOverflow="ellipsis" vert="horz" wrap="square" anchor="ctr" anchorCtr="1"/>
        <a:lstStyle/>
        <a:p>
          <a:pPr>
            <a:defRPr sz="1600" b="1" i="0" u="none" strike="noStrike" kern="1200" cap="none" spc="120" normalizeH="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'Damage Curves - Total'!$P$30</c:f>
              <c:strCache>
                <c:ptCount val="1"/>
                <c:pt idx="0">
                  <c:v>Small</c:v>
                </c:pt>
              </c:strCache>
            </c:strRef>
          </c:tx>
          <c:spPr>
            <a:ln w="22225" cap="rnd">
              <a:solidFill>
                <a:schemeClr val="accent2"/>
              </a:solidFill>
              <a:round/>
            </a:ln>
            <a:effectLst/>
          </c:spPr>
          <c:marker>
            <c:symbol val="none"/>
          </c:marker>
          <c:xVal>
            <c:numRef>
              <c:f>'Damage Curves - Total'!$M$31:$M$157</c:f>
              <c:numCache>
                <c:formatCode>0.00</c:formatCode>
                <c:ptCount val="12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pt idx="67">
                  <c:v>3.05</c:v>
                </c:pt>
                <c:pt idx="68">
                  <c:v>3.1</c:v>
                </c:pt>
                <c:pt idx="69">
                  <c:v>3.15</c:v>
                </c:pt>
                <c:pt idx="70">
                  <c:v>3.2</c:v>
                </c:pt>
                <c:pt idx="71">
                  <c:v>3.25</c:v>
                </c:pt>
                <c:pt idx="72">
                  <c:v>3.3</c:v>
                </c:pt>
                <c:pt idx="73">
                  <c:v>3.35</c:v>
                </c:pt>
                <c:pt idx="74">
                  <c:v>3.4</c:v>
                </c:pt>
                <c:pt idx="75">
                  <c:v>3.45</c:v>
                </c:pt>
                <c:pt idx="76">
                  <c:v>3.5</c:v>
                </c:pt>
                <c:pt idx="77">
                  <c:v>3.55</c:v>
                </c:pt>
                <c:pt idx="78">
                  <c:v>3.6</c:v>
                </c:pt>
                <c:pt idx="79">
                  <c:v>3.65</c:v>
                </c:pt>
                <c:pt idx="80">
                  <c:v>3.7</c:v>
                </c:pt>
                <c:pt idx="81">
                  <c:v>3.75</c:v>
                </c:pt>
                <c:pt idx="82">
                  <c:v>3.8</c:v>
                </c:pt>
                <c:pt idx="83">
                  <c:v>3.85</c:v>
                </c:pt>
                <c:pt idx="84">
                  <c:v>3.9</c:v>
                </c:pt>
                <c:pt idx="85">
                  <c:v>3.95</c:v>
                </c:pt>
                <c:pt idx="86">
                  <c:v>4</c:v>
                </c:pt>
                <c:pt idx="87">
                  <c:v>4.05</c:v>
                </c:pt>
                <c:pt idx="88">
                  <c:v>4.0999999999999996</c:v>
                </c:pt>
                <c:pt idx="89">
                  <c:v>4.1500000000000004</c:v>
                </c:pt>
                <c:pt idx="90">
                  <c:v>4.2</c:v>
                </c:pt>
                <c:pt idx="91">
                  <c:v>4.25</c:v>
                </c:pt>
                <c:pt idx="92">
                  <c:v>4.3</c:v>
                </c:pt>
                <c:pt idx="93">
                  <c:v>4.3499999999999996</c:v>
                </c:pt>
                <c:pt idx="94">
                  <c:v>4.4000000000000004</c:v>
                </c:pt>
                <c:pt idx="95">
                  <c:v>4.45</c:v>
                </c:pt>
                <c:pt idx="96">
                  <c:v>4.5</c:v>
                </c:pt>
                <c:pt idx="97">
                  <c:v>4.55</c:v>
                </c:pt>
                <c:pt idx="98">
                  <c:v>4.5999999999999996</c:v>
                </c:pt>
                <c:pt idx="99">
                  <c:v>4.6500000000000004</c:v>
                </c:pt>
                <c:pt idx="100">
                  <c:v>4.7</c:v>
                </c:pt>
                <c:pt idx="101">
                  <c:v>4.75</c:v>
                </c:pt>
                <c:pt idx="102">
                  <c:v>4.8</c:v>
                </c:pt>
                <c:pt idx="103">
                  <c:v>4.8499999999999996</c:v>
                </c:pt>
                <c:pt idx="104">
                  <c:v>4.9000000000000004</c:v>
                </c:pt>
                <c:pt idx="105">
                  <c:v>4.95</c:v>
                </c:pt>
                <c:pt idx="106">
                  <c:v>5</c:v>
                </c:pt>
                <c:pt idx="107">
                  <c:v>5.05</c:v>
                </c:pt>
                <c:pt idx="108">
                  <c:v>5.0999999999999996</c:v>
                </c:pt>
                <c:pt idx="109">
                  <c:v>5.15</c:v>
                </c:pt>
                <c:pt idx="110">
                  <c:v>5.2</c:v>
                </c:pt>
                <c:pt idx="111">
                  <c:v>5.25</c:v>
                </c:pt>
                <c:pt idx="112">
                  <c:v>5.3</c:v>
                </c:pt>
                <c:pt idx="113">
                  <c:v>5.35</c:v>
                </c:pt>
                <c:pt idx="114">
                  <c:v>5.4</c:v>
                </c:pt>
                <c:pt idx="115">
                  <c:v>5.45</c:v>
                </c:pt>
                <c:pt idx="116">
                  <c:v>5.5</c:v>
                </c:pt>
                <c:pt idx="117">
                  <c:v>5.55</c:v>
                </c:pt>
                <c:pt idx="118">
                  <c:v>5.6</c:v>
                </c:pt>
                <c:pt idx="119">
                  <c:v>5.65</c:v>
                </c:pt>
                <c:pt idx="120">
                  <c:v>5.7</c:v>
                </c:pt>
                <c:pt idx="121">
                  <c:v>5.75</c:v>
                </c:pt>
                <c:pt idx="122">
                  <c:v>5.8</c:v>
                </c:pt>
                <c:pt idx="123">
                  <c:v>5.85</c:v>
                </c:pt>
                <c:pt idx="124">
                  <c:v>5.9</c:v>
                </c:pt>
                <c:pt idx="125">
                  <c:v>5.95</c:v>
                </c:pt>
                <c:pt idx="126">
                  <c:v>6</c:v>
                </c:pt>
              </c:numCache>
            </c:numRef>
          </c:xVal>
          <c:yVal>
            <c:numRef>
              <c:f>'Damage Curves - Total'!$P$31:$P$157</c:f>
              <c:numCache>
                <c:formatCode>"$"#,##0</c:formatCode>
                <c:ptCount val="127"/>
                <c:pt idx="0">
                  <c:v>0</c:v>
                </c:pt>
                <c:pt idx="1">
                  <c:v>257.56824348769896</c:v>
                </c:pt>
                <c:pt idx="2">
                  <c:v>515.13648697539793</c:v>
                </c:pt>
                <c:pt idx="3">
                  <c:v>772.70473046309712</c:v>
                </c:pt>
                <c:pt idx="4">
                  <c:v>1030.2729739507961</c:v>
                </c:pt>
                <c:pt idx="5">
                  <c:v>1287.8412174384953</c:v>
                </c:pt>
                <c:pt idx="6">
                  <c:v>1545.4094609261942</c:v>
                </c:pt>
                <c:pt idx="7">
                  <c:v>18715.751774285261</c:v>
                </c:pt>
                <c:pt idx="8">
                  <c:v>30886.094087644327</c:v>
                </c:pt>
                <c:pt idx="9">
                  <c:v>34100.086116090228</c:v>
                </c:pt>
                <c:pt idx="10">
                  <c:v>36414.078144536121</c:v>
                </c:pt>
                <c:pt idx="11">
                  <c:v>38728.070172982021</c:v>
                </c:pt>
                <c:pt idx="12">
                  <c:v>40361.78060697703</c:v>
                </c:pt>
                <c:pt idx="13">
                  <c:v>41492.062201427907</c:v>
                </c:pt>
                <c:pt idx="14">
                  <c:v>42622.343795878784</c:v>
                </c:pt>
                <c:pt idx="15">
                  <c:v>43752.625390329667</c:v>
                </c:pt>
                <c:pt idx="16">
                  <c:v>44743.621270494827</c:v>
                </c:pt>
                <c:pt idx="17">
                  <c:v>45542.714007197224</c:v>
                </c:pt>
                <c:pt idx="18">
                  <c:v>46341.806743899608</c:v>
                </c:pt>
                <c:pt idx="19">
                  <c:v>47140.899480602005</c:v>
                </c:pt>
                <c:pt idx="20">
                  <c:v>47939.992217304381</c:v>
                </c:pt>
                <c:pt idx="21">
                  <c:v>48739.084954006772</c:v>
                </c:pt>
                <c:pt idx="22">
                  <c:v>49538.177690709163</c:v>
                </c:pt>
                <c:pt idx="23">
                  <c:v>51426.556141697263</c:v>
                </c:pt>
                <c:pt idx="24">
                  <c:v>53314.934592685364</c:v>
                </c:pt>
                <c:pt idx="25">
                  <c:v>55203.313043673465</c:v>
                </c:pt>
                <c:pt idx="26">
                  <c:v>57091.691494661573</c:v>
                </c:pt>
                <c:pt idx="27">
                  <c:v>57771.232657913788</c:v>
                </c:pt>
                <c:pt idx="28">
                  <c:v>58450.773821166018</c:v>
                </c:pt>
                <c:pt idx="29">
                  <c:v>59130.314984418234</c:v>
                </c:pt>
                <c:pt idx="30">
                  <c:v>59809.856147670449</c:v>
                </c:pt>
                <c:pt idx="31">
                  <c:v>60489.397310922679</c:v>
                </c:pt>
                <c:pt idx="32">
                  <c:v>61168.938474174895</c:v>
                </c:pt>
                <c:pt idx="33">
                  <c:v>61848.47963742711</c:v>
                </c:pt>
                <c:pt idx="34">
                  <c:v>62528.02080067934</c:v>
                </c:pt>
                <c:pt idx="35">
                  <c:v>63207.561963931556</c:v>
                </c:pt>
                <c:pt idx="36">
                  <c:v>63887.103127183771</c:v>
                </c:pt>
                <c:pt idx="37">
                  <c:v>64107.704511130636</c:v>
                </c:pt>
                <c:pt idx="38">
                  <c:v>64328.305895077508</c:v>
                </c:pt>
                <c:pt idx="39">
                  <c:v>64548.907279024366</c:v>
                </c:pt>
                <c:pt idx="40">
                  <c:v>64769.508662971239</c:v>
                </c:pt>
                <c:pt idx="41">
                  <c:v>64990.110046918104</c:v>
                </c:pt>
                <c:pt idx="42">
                  <c:v>65210.711430864969</c:v>
                </c:pt>
                <c:pt idx="43">
                  <c:v>65431.312814811841</c:v>
                </c:pt>
                <c:pt idx="44">
                  <c:v>65651.914198758692</c:v>
                </c:pt>
                <c:pt idx="45">
                  <c:v>65872.515582705557</c:v>
                </c:pt>
                <c:pt idx="46">
                  <c:v>66093.116966652437</c:v>
                </c:pt>
                <c:pt idx="47">
                  <c:v>66821.581442996336</c:v>
                </c:pt>
                <c:pt idx="48">
                  <c:v>67550.045919340249</c:v>
                </c:pt>
                <c:pt idx="49">
                  <c:v>68278.510395684163</c:v>
                </c:pt>
                <c:pt idx="50">
                  <c:v>69006.974872028077</c:v>
                </c:pt>
                <c:pt idx="51">
                  <c:v>69735.43934837199</c:v>
                </c:pt>
                <c:pt idx="52">
                  <c:v>70553.37955743265</c:v>
                </c:pt>
                <c:pt idx="53">
                  <c:v>71371.319766493325</c:v>
                </c:pt>
                <c:pt idx="54">
                  <c:v>72189.259975554</c:v>
                </c:pt>
                <c:pt idx="55">
                  <c:v>73007.200184614689</c:v>
                </c:pt>
                <c:pt idx="56">
                  <c:v>73825.140393675363</c:v>
                </c:pt>
                <c:pt idx="57">
                  <c:v>74682.037911233638</c:v>
                </c:pt>
                <c:pt idx="58">
                  <c:v>75538.935428791941</c:v>
                </c:pt>
                <c:pt idx="59">
                  <c:v>76395.832946350216</c:v>
                </c:pt>
                <c:pt idx="60">
                  <c:v>77252.73046390852</c:v>
                </c:pt>
                <c:pt idx="61">
                  <c:v>82689.092013063506</c:v>
                </c:pt>
                <c:pt idx="62">
                  <c:v>88393.880760368789</c:v>
                </c:pt>
                <c:pt idx="63">
                  <c:v>94098.669507674131</c:v>
                </c:pt>
                <c:pt idx="64">
                  <c:v>99803.458254979414</c:v>
                </c:pt>
                <c:pt idx="65">
                  <c:v>105508.24700228474</c:v>
                </c:pt>
                <c:pt idx="66">
                  <c:v>111213.03574959002</c:v>
                </c:pt>
                <c:pt idx="67">
                  <c:v>113298.50091906796</c:v>
                </c:pt>
                <c:pt idx="68">
                  <c:v>115383.96608854593</c:v>
                </c:pt>
                <c:pt idx="69">
                  <c:v>117469.43125802388</c:v>
                </c:pt>
                <c:pt idx="70">
                  <c:v>119554.89642750184</c:v>
                </c:pt>
                <c:pt idx="71">
                  <c:v>121640.36159697975</c:v>
                </c:pt>
                <c:pt idx="72">
                  <c:v>123188.97237015713</c:v>
                </c:pt>
                <c:pt idx="73">
                  <c:v>124737.5831433345</c:v>
                </c:pt>
                <c:pt idx="74">
                  <c:v>126286.19391651184</c:v>
                </c:pt>
                <c:pt idx="75">
                  <c:v>127834.80468968922</c:v>
                </c:pt>
                <c:pt idx="76">
                  <c:v>129383.41546286656</c:v>
                </c:pt>
                <c:pt idx="77">
                  <c:v>130663.59903789364</c:v>
                </c:pt>
                <c:pt idx="78">
                  <c:v>131943.78261292071</c:v>
                </c:pt>
                <c:pt idx="79">
                  <c:v>133223.96618794778</c:v>
                </c:pt>
                <c:pt idx="80">
                  <c:v>134504.14976297485</c:v>
                </c:pt>
                <c:pt idx="81">
                  <c:v>135784.33333800192</c:v>
                </c:pt>
                <c:pt idx="82">
                  <c:v>136885.56544759544</c:v>
                </c:pt>
                <c:pt idx="83">
                  <c:v>137986.79755718898</c:v>
                </c:pt>
                <c:pt idx="84">
                  <c:v>139088.02966678253</c:v>
                </c:pt>
                <c:pt idx="85">
                  <c:v>140189.26177637605</c:v>
                </c:pt>
                <c:pt idx="86">
                  <c:v>141290.4938859696</c:v>
                </c:pt>
                <c:pt idx="87">
                  <c:v>141424.70748504472</c:v>
                </c:pt>
                <c:pt idx="88">
                  <c:v>141558.92108411988</c:v>
                </c:pt>
                <c:pt idx="89">
                  <c:v>141693.13468319504</c:v>
                </c:pt>
                <c:pt idx="90">
                  <c:v>141827.34828227016</c:v>
                </c:pt>
                <c:pt idx="91">
                  <c:v>141961.56188134532</c:v>
                </c:pt>
                <c:pt idx="92">
                  <c:v>142051.03761406208</c:v>
                </c:pt>
                <c:pt idx="93">
                  <c:v>142140.51334677887</c:v>
                </c:pt>
                <c:pt idx="94">
                  <c:v>142229.9890794956</c:v>
                </c:pt>
                <c:pt idx="95">
                  <c:v>142319.46481221239</c:v>
                </c:pt>
                <c:pt idx="96">
                  <c:v>142408.94054492915</c:v>
                </c:pt>
                <c:pt idx="97">
                  <c:v>142543.15414400428</c:v>
                </c:pt>
                <c:pt idx="98">
                  <c:v>142677.36774307943</c:v>
                </c:pt>
                <c:pt idx="99">
                  <c:v>142811.58134215459</c:v>
                </c:pt>
                <c:pt idx="100">
                  <c:v>142945.79494122975</c:v>
                </c:pt>
                <c:pt idx="101">
                  <c:v>143080.00854030487</c:v>
                </c:pt>
                <c:pt idx="102">
                  <c:v>143169.48427302163</c:v>
                </c:pt>
                <c:pt idx="103">
                  <c:v>143258.96000573842</c:v>
                </c:pt>
                <c:pt idx="104">
                  <c:v>143348.43573845515</c:v>
                </c:pt>
                <c:pt idx="105">
                  <c:v>143437.91147117194</c:v>
                </c:pt>
                <c:pt idx="106">
                  <c:v>143527.38720388871</c:v>
                </c:pt>
                <c:pt idx="107">
                  <c:v>143572.1250702471</c:v>
                </c:pt>
                <c:pt idx="108">
                  <c:v>143616.86293660547</c:v>
                </c:pt>
                <c:pt idx="109">
                  <c:v>143661.60080296383</c:v>
                </c:pt>
                <c:pt idx="110">
                  <c:v>143706.33866932223</c:v>
                </c:pt>
                <c:pt idx="111">
                  <c:v>143751.07653568062</c:v>
                </c:pt>
                <c:pt idx="112">
                  <c:v>143795.81440203899</c:v>
                </c:pt>
                <c:pt idx="113">
                  <c:v>143840.55226839738</c:v>
                </c:pt>
                <c:pt idx="114">
                  <c:v>143885.29013475575</c:v>
                </c:pt>
                <c:pt idx="115">
                  <c:v>143930.02800111414</c:v>
                </c:pt>
                <c:pt idx="116">
                  <c:v>143974.76586747251</c:v>
                </c:pt>
                <c:pt idx="117">
                  <c:v>143997.13480065172</c:v>
                </c:pt>
                <c:pt idx="118">
                  <c:v>144019.5037338309</c:v>
                </c:pt>
                <c:pt idx="119">
                  <c:v>144041.87266701009</c:v>
                </c:pt>
                <c:pt idx="120">
                  <c:v>144064.2416001893</c:v>
                </c:pt>
                <c:pt idx="121">
                  <c:v>144086.61053336848</c:v>
                </c:pt>
                <c:pt idx="122">
                  <c:v>144108.97946654767</c:v>
                </c:pt>
                <c:pt idx="123">
                  <c:v>144131.34839972685</c:v>
                </c:pt>
                <c:pt idx="124">
                  <c:v>144153.71733290603</c:v>
                </c:pt>
                <c:pt idx="125">
                  <c:v>144176.08626608524</c:v>
                </c:pt>
                <c:pt idx="126">
                  <c:v>144198.45519926443</c:v>
                </c:pt>
              </c:numCache>
            </c:numRef>
          </c:yVal>
          <c:smooth val="0"/>
          <c:extLst>
            <c:ext xmlns:c16="http://schemas.microsoft.com/office/drawing/2014/chart" uri="{C3380CC4-5D6E-409C-BE32-E72D297353CC}">
              <c16:uniqueId val="{00000000-CAA8-432E-B9F8-2C32E27FF5B8}"/>
            </c:ext>
          </c:extLst>
        </c:ser>
        <c:ser>
          <c:idx val="2"/>
          <c:order val="1"/>
          <c:tx>
            <c:strRef>
              <c:f>'Damage Curves - Total'!$Q$30</c:f>
              <c:strCache>
                <c:ptCount val="1"/>
                <c:pt idx="0">
                  <c:v>Medium</c:v>
                </c:pt>
              </c:strCache>
            </c:strRef>
          </c:tx>
          <c:spPr>
            <a:ln w="22225" cap="rnd">
              <a:solidFill>
                <a:schemeClr val="accent3"/>
              </a:solidFill>
              <a:round/>
            </a:ln>
            <a:effectLst/>
          </c:spPr>
          <c:marker>
            <c:symbol val="none"/>
          </c:marker>
          <c:xVal>
            <c:numRef>
              <c:f>'Damage Curves - Total'!$M$31:$M$157</c:f>
              <c:numCache>
                <c:formatCode>0.00</c:formatCode>
                <c:ptCount val="12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pt idx="67">
                  <c:v>3.05</c:v>
                </c:pt>
                <c:pt idx="68">
                  <c:v>3.1</c:v>
                </c:pt>
                <c:pt idx="69">
                  <c:v>3.15</c:v>
                </c:pt>
                <c:pt idx="70">
                  <c:v>3.2</c:v>
                </c:pt>
                <c:pt idx="71">
                  <c:v>3.25</c:v>
                </c:pt>
                <c:pt idx="72">
                  <c:v>3.3</c:v>
                </c:pt>
                <c:pt idx="73">
                  <c:v>3.35</c:v>
                </c:pt>
                <c:pt idx="74">
                  <c:v>3.4</c:v>
                </c:pt>
                <c:pt idx="75">
                  <c:v>3.45</c:v>
                </c:pt>
                <c:pt idx="76">
                  <c:v>3.5</c:v>
                </c:pt>
                <c:pt idx="77">
                  <c:v>3.55</c:v>
                </c:pt>
                <c:pt idx="78">
                  <c:v>3.6</c:v>
                </c:pt>
                <c:pt idx="79">
                  <c:v>3.65</c:v>
                </c:pt>
                <c:pt idx="80">
                  <c:v>3.7</c:v>
                </c:pt>
                <c:pt idx="81">
                  <c:v>3.75</c:v>
                </c:pt>
                <c:pt idx="82">
                  <c:v>3.8</c:v>
                </c:pt>
                <c:pt idx="83">
                  <c:v>3.85</c:v>
                </c:pt>
                <c:pt idx="84">
                  <c:v>3.9</c:v>
                </c:pt>
                <c:pt idx="85">
                  <c:v>3.95</c:v>
                </c:pt>
                <c:pt idx="86">
                  <c:v>4</c:v>
                </c:pt>
                <c:pt idx="87">
                  <c:v>4.05</c:v>
                </c:pt>
                <c:pt idx="88">
                  <c:v>4.0999999999999996</c:v>
                </c:pt>
                <c:pt idx="89">
                  <c:v>4.1500000000000004</c:v>
                </c:pt>
                <c:pt idx="90">
                  <c:v>4.2</c:v>
                </c:pt>
                <c:pt idx="91">
                  <c:v>4.25</c:v>
                </c:pt>
                <c:pt idx="92">
                  <c:v>4.3</c:v>
                </c:pt>
                <c:pt idx="93">
                  <c:v>4.3499999999999996</c:v>
                </c:pt>
                <c:pt idx="94">
                  <c:v>4.4000000000000004</c:v>
                </c:pt>
                <c:pt idx="95">
                  <c:v>4.45</c:v>
                </c:pt>
                <c:pt idx="96">
                  <c:v>4.5</c:v>
                </c:pt>
                <c:pt idx="97">
                  <c:v>4.55</c:v>
                </c:pt>
                <c:pt idx="98">
                  <c:v>4.5999999999999996</c:v>
                </c:pt>
                <c:pt idx="99">
                  <c:v>4.6500000000000004</c:v>
                </c:pt>
                <c:pt idx="100">
                  <c:v>4.7</c:v>
                </c:pt>
                <c:pt idx="101">
                  <c:v>4.75</c:v>
                </c:pt>
                <c:pt idx="102">
                  <c:v>4.8</c:v>
                </c:pt>
                <c:pt idx="103">
                  <c:v>4.8499999999999996</c:v>
                </c:pt>
                <c:pt idx="104">
                  <c:v>4.9000000000000004</c:v>
                </c:pt>
                <c:pt idx="105">
                  <c:v>4.95</c:v>
                </c:pt>
                <c:pt idx="106">
                  <c:v>5</c:v>
                </c:pt>
                <c:pt idx="107">
                  <c:v>5.05</c:v>
                </c:pt>
                <c:pt idx="108">
                  <c:v>5.0999999999999996</c:v>
                </c:pt>
                <c:pt idx="109">
                  <c:v>5.15</c:v>
                </c:pt>
                <c:pt idx="110">
                  <c:v>5.2</c:v>
                </c:pt>
                <c:pt idx="111">
                  <c:v>5.25</c:v>
                </c:pt>
                <c:pt idx="112">
                  <c:v>5.3</c:v>
                </c:pt>
                <c:pt idx="113">
                  <c:v>5.35</c:v>
                </c:pt>
                <c:pt idx="114">
                  <c:v>5.4</c:v>
                </c:pt>
                <c:pt idx="115">
                  <c:v>5.45</c:v>
                </c:pt>
                <c:pt idx="116">
                  <c:v>5.5</c:v>
                </c:pt>
                <c:pt idx="117">
                  <c:v>5.55</c:v>
                </c:pt>
                <c:pt idx="118">
                  <c:v>5.6</c:v>
                </c:pt>
                <c:pt idx="119">
                  <c:v>5.65</c:v>
                </c:pt>
                <c:pt idx="120">
                  <c:v>5.7</c:v>
                </c:pt>
                <c:pt idx="121">
                  <c:v>5.75</c:v>
                </c:pt>
                <c:pt idx="122">
                  <c:v>5.8</c:v>
                </c:pt>
                <c:pt idx="123">
                  <c:v>5.85</c:v>
                </c:pt>
                <c:pt idx="124">
                  <c:v>5.9</c:v>
                </c:pt>
                <c:pt idx="125">
                  <c:v>5.95</c:v>
                </c:pt>
                <c:pt idx="126">
                  <c:v>6</c:v>
                </c:pt>
              </c:numCache>
            </c:numRef>
          </c:xVal>
          <c:yVal>
            <c:numRef>
              <c:f>'Damage Curves - Total'!$Q$31:$Q$157</c:f>
              <c:numCache>
                <c:formatCode>"$"#,##0</c:formatCode>
                <c:ptCount val="127"/>
                <c:pt idx="0">
                  <c:v>0</c:v>
                </c:pt>
                <c:pt idx="1">
                  <c:v>515.13648697539793</c:v>
                </c:pt>
                <c:pt idx="2">
                  <c:v>1030.2729739507959</c:v>
                </c:pt>
                <c:pt idx="3">
                  <c:v>1545.4094609261942</c:v>
                </c:pt>
                <c:pt idx="4">
                  <c:v>2060.5459479015922</c:v>
                </c:pt>
                <c:pt idx="5">
                  <c:v>2575.6824348769906</c:v>
                </c:pt>
                <c:pt idx="6">
                  <c:v>3090.8189218523885</c:v>
                </c:pt>
                <c:pt idx="7">
                  <c:v>31331.503548570523</c:v>
                </c:pt>
                <c:pt idx="8">
                  <c:v>54572.188175288655</c:v>
                </c:pt>
                <c:pt idx="9">
                  <c:v>59900.172232180455</c:v>
                </c:pt>
                <c:pt idx="10">
                  <c:v>64328.156289072242</c:v>
                </c:pt>
                <c:pt idx="11">
                  <c:v>68756.140345964042</c:v>
                </c:pt>
                <c:pt idx="12">
                  <c:v>71698.561213954061</c:v>
                </c:pt>
                <c:pt idx="13">
                  <c:v>73634.124402855814</c:v>
                </c:pt>
                <c:pt idx="14">
                  <c:v>75569.687591757567</c:v>
                </c:pt>
                <c:pt idx="15">
                  <c:v>77505.250780659335</c:v>
                </c:pt>
                <c:pt idx="16">
                  <c:v>79301.528255275363</c:v>
                </c:pt>
                <c:pt idx="17">
                  <c:v>80713.999442965869</c:v>
                </c:pt>
                <c:pt idx="18">
                  <c:v>82126.470630656346</c:v>
                </c:pt>
                <c:pt idx="19">
                  <c:v>83538.941818346852</c:v>
                </c:pt>
                <c:pt idx="20">
                  <c:v>84951.413006037343</c:v>
                </c:pt>
                <c:pt idx="21">
                  <c:v>86363.884193727834</c:v>
                </c:pt>
                <c:pt idx="22">
                  <c:v>87776.355381418325</c:v>
                </c:pt>
                <c:pt idx="23">
                  <c:v>90278.112283394526</c:v>
                </c:pt>
                <c:pt idx="24">
                  <c:v>92779.869185370728</c:v>
                </c:pt>
                <c:pt idx="25">
                  <c:v>95281.626087346944</c:v>
                </c:pt>
                <c:pt idx="26">
                  <c:v>97783.382989323145</c:v>
                </c:pt>
                <c:pt idx="27">
                  <c:v>99142.465315827576</c:v>
                </c:pt>
                <c:pt idx="28">
                  <c:v>100501.54764233204</c:v>
                </c:pt>
                <c:pt idx="29">
                  <c:v>101860.62996883647</c:v>
                </c:pt>
                <c:pt idx="30">
                  <c:v>103219.7122953409</c:v>
                </c:pt>
                <c:pt idx="31">
                  <c:v>104578.79462184536</c:v>
                </c:pt>
                <c:pt idx="32">
                  <c:v>105937.87694834979</c:v>
                </c:pt>
                <c:pt idx="33">
                  <c:v>107296.95927485422</c:v>
                </c:pt>
                <c:pt idx="34">
                  <c:v>108656.04160135867</c:v>
                </c:pt>
                <c:pt idx="35">
                  <c:v>110015.12392786311</c:v>
                </c:pt>
                <c:pt idx="36">
                  <c:v>111374.20625436754</c:v>
                </c:pt>
                <c:pt idx="37">
                  <c:v>111815.40902226127</c:v>
                </c:pt>
                <c:pt idx="38">
                  <c:v>112256.61179015502</c:v>
                </c:pt>
                <c:pt idx="39">
                  <c:v>112697.81455804873</c:v>
                </c:pt>
                <c:pt idx="40">
                  <c:v>113139.01732594249</c:v>
                </c:pt>
                <c:pt idx="41">
                  <c:v>113580.22009383621</c:v>
                </c:pt>
                <c:pt idx="42">
                  <c:v>114021.42286172992</c:v>
                </c:pt>
                <c:pt idx="43">
                  <c:v>114462.62562962367</c:v>
                </c:pt>
                <c:pt idx="44">
                  <c:v>114903.8283975174</c:v>
                </c:pt>
                <c:pt idx="45">
                  <c:v>115345.03116541114</c:v>
                </c:pt>
                <c:pt idx="46">
                  <c:v>115786.23393330487</c:v>
                </c:pt>
                <c:pt idx="47">
                  <c:v>117243.16288599267</c:v>
                </c:pt>
                <c:pt idx="48">
                  <c:v>118700.0918386805</c:v>
                </c:pt>
                <c:pt idx="49">
                  <c:v>120157.02079136833</c:v>
                </c:pt>
                <c:pt idx="50">
                  <c:v>121613.94974405615</c:v>
                </c:pt>
                <c:pt idx="51">
                  <c:v>123070.87869674397</c:v>
                </c:pt>
                <c:pt idx="52">
                  <c:v>124706.7591148653</c:v>
                </c:pt>
                <c:pt idx="53">
                  <c:v>126342.63953298665</c:v>
                </c:pt>
                <c:pt idx="54">
                  <c:v>127978.519951108</c:v>
                </c:pt>
                <c:pt idx="55">
                  <c:v>129614.40036922938</c:v>
                </c:pt>
                <c:pt idx="56">
                  <c:v>131250.28078735073</c:v>
                </c:pt>
                <c:pt idx="57">
                  <c:v>132964.07582246728</c:v>
                </c:pt>
                <c:pt idx="58">
                  <c:v>134677.87085758388</c:v>
                </c:pt>
                <c:pt idx="59">
                  <c:v>136391.66589270043</c:v>
                </c:pt>
                <c:pt idx="60">
                  <c:v>138105.46092781704</c:v>
                </c:pt>
                <c:pt idx="61">
                  <c:v>148978.18402612701</c:v>
                </c:pt>
                <c:pt idx="62">
                  <c:v>160387.76152073758</c:v>
                </c:pt>
                <c:pt idx="63">
                  <c:v>171797.33901534826</c:v>
                </c:pt>
                <c:pt idx="64">
                  <c:v>183206.91650995883</c:v>
                </c:pt>
                <c:pt idx="65">
                  <c:v>194616.49400456948</c:v>
                </c:pt>
                <c:pt idx="66">
                  <c:v>206026.07149918005</c:v>
                </c:pt>
                <c:pt idx="67">
                  <c:v>210197.00183813591</c:v>
                </c:pt>
                <c:pt idx="68">
                  <c:v>214367.93217709186</c:v>
                </c:pt>
                <c:pt idx="69">
                  <c:v>218538.86251604775</c:v>
                </c:pt>
                <c:pt idx="70">
                  <c:v>222709.79285500367</c:v>
                </c:pt>
                <c:pt idx="71">
                  <c:v>226880.72319395951</c:v>
                </c:pt>
                <c:pt idx="72">
                  <c:v>229977.94474031427</c:v>
                </c:pt>
                <c:pt idx="73">
                  <c:v>233075.166286669</c:v>
                </c:pt>
                <c:pt idx="74">
                  <c:v>236172.38783302368</c:v>
                </c:pt>
                <c:pt idx="75">
                  <c:v>239269.60937937844</c:v>
                </c:pt>
                <c:pt idx="76">
                  <c:v>242366.83092573311</c:v>
                </c:pt>
                <c:pt idx="77">
                  <c:v>244927.19807578728</c:v>
                </c:pt>
                <c:pt idx="78">
                  <c:v>247487.56522584142</c:v>
                </c:pt>
                <c:pt idx="79">
                  <c:v>250047.93237589556</c:v>
                </c:pt>
                <c:pt idx="80">
                  <c:v>252608.2995259497</c:v>
                </c:pt>
                <c:pt idx="81">
                  <c:v>255168.66667600384</c:v>
                </c:pt>
                <c:pt idx="82">
                  <c:v>257371.13089519087</c:v>
                </c:pt>
                <c:pt idx="83">
                  <c:v>259573.59511437797</c:v>
                </c:pt>
                <c:pt idx="84">
                  <c:v>261776.05933356506</c:v>
                </c:pt>
                <c:pt idx="85">
                  <c:v>263978.5235527521</c:v>
                </c:pt>
                <c:pt idx="86">
                  <c:v>266180.9877719392</c:v>
                </c:pt>
                <c:pt idx="87">
                  <c:v>266449.41497008945</c:v>
                </c:pt>
                <c:pt idx="88">
                  <c:v>266717.84216823976</c:v>
                </c:pt>
                <c:pt idx="89">
                  <c:v>266986.26936639007</c:v>
                </c:pt>
                <c:pt idx="90">
                  <c:v>267254.69656454033</c:v>
                </c:pt>
                <c:pt idx="91">
                  <c:v>267523.12376269064</c:v>
                </c:pt>
                <c:pt idx="92">
                  <c:v>267702.07522812416</c:v>
                </c:pt>
                <c:pt idx="93">
                  <c:v>267881.02669355774</c:v>
                </c:pt>
                <c:pt idx="94">
                  <c:v>268059.9781589912</c:v>
                </c:pt>
                <c:pt idx="95">
                  <c:v>268238.92962442478</c:v>
                </c:pt>
                <c:pt idx="96">
                  <c:v>268417.8810898583</c:v>
                </c:pt>
                <c:pt idx="97">
                  <c:v>268686.30828800856</c:v>
                </c:pt>
                <c:pt idx="98">
                  <c:v>268954.73548615887</c:v>
                </c:pt>
                <c:pt idx="99">
                  <c:v>269223.16268430918</c:v>
                </c:pt>
                <c:pt idx="100">
                  <c:v>269491.58988245949</c:v>
                </c:pt>
                <c:pt idx="101">
                  <c:v>269760.01708060974</c:v>
                </c:pt>
                <c:pt idx="102">
                  <c:v>269938.96854604327</c:v>
                </c:pt>
                <c:pt idx="103">
                  <c:v>270117.92001147685</c:v>
                </c:pt>
                <c:pt idx="104">
                  <c:v>270296.87147691031</c:v>
                </c:pt>
                <c:pt idx="105">
                  <c:v>270475.82294234389</c:v>
                </c:pt>
                <c:pt idx="106">
                  <c:v>270654.77440777741</c:v>
                </c:pt>
                <c:pt idx="107">
                  <c:v>270744.2501404942</c:v>
                </c:pt>
                <c:pt idx="108">
                  <c:v>270833.72587321093</c:v>
                </c:pt>
                <c:pt idx="109">
                  <c:v>270923.20160592766</c:v>
                </c:pt>
                <c:pt idx="110">
                  <c:v>271012.67733864445</c:v>
                </c:pt>
                <c:pt idx="111">
                  <c:v>271102.15307136124</c:v>
                </c:pt>
                <c:pt idx="112">
                  <c:v>271191.62880407798</c:v>
                </c:pt>
                <c:pt idx="113">
                  <c:v>271281.10453679477</c:v>
                </c:pt>
                <c:pt idx="114">
                  <c:v>271370.5802695115</c:v>
                </c:pt>
                <c:pt idx="115">
                  <c:v>271460.05600222829</c:v>
                </c:pt>
                <c:pt idx="116">
                  <c:v>271549.53173494502</c:v>
                </c:pt>
                <c:pt idx="117">
                  <c:v>271594.26960130344</c:v>
                </c:pt>
                <c:pt idx="118">
                  <c:v>271639.00746766181</c:v>
                </c:pt>
                <c:pt idx="119">
                  <c:v>271683.74533402018</c:v>
                </c:pt>
                <c:pt idx="120">
                  <c:v>271728.4832003786</c:v>
                </c:pt>
                <c:pt idx="121">
                  <c:v>271773.22106673697</c:v>
                </c:pt>
                <c:pt idx="122">
                  <c:v>271817.95893309533</c:v>
                </c:pt>
                <c:pt idx="123">
                  <c:v>271862.6967994537</c:v>
                </c:pt>
                <c:pt idx="124">
                  <c:v>271907.43466581206</c:v>
                </c:pt>
                <c:pt idx="125">
                  <c:v>271952.17253217049</c:v>
                </c:pt>
                <c:pt idx="126">
                  <c:v>271996.91039852885</c:v>
                </c:pt>
              </c:numCache>
            </c:numRef>
          </c:yVal>
          <c:smooth val="0"/>
          <c:extLst>
            <c:ext xmlns:c16="http://schemas.microsoft.com/office/drawing/2014/chart" uri="{C3380CC4-5D6E-409C-BE32-E72D297353CC}">
              <c16:uniqueId val="{00000001-CAA8-432E-B9F8-2C32E27FF5B8}"/>
            </c:ext>
          </c:extLst>
        </c:ser>
        <c:ser>
          <c:idx val="3"/>
          <c:order val="2"/>
          <c:tx>
            <c:strRef>
              <c:f>'Damage Curves - Total'!$R$30</c:f>
              <c:strCache>
                <c:ptCount val="1"/>
                <c:pt idx="0">
                  <c:v>Large</c:v>
                </c:pt>
              </c:strCache>
            </c:strRef>
          </c:tx>
          <c:spPr>
            <a:ln w="22225" cap="rnd">
              <a:solidFill>
                <a:schemeClr val="accent4"/>
              </a:solidFill>
              <a:round/>
            </a:ln>
            <a:effectLst/>
          </c:spPr>
          <c:marker>
            <c:symbol val="none"/>
          </c:marker>
          <c:xVal>
            <c:numRef>
              <c:f>'Damage Curves - Total'!$M$31:$M$157</c:f>
              <c:numCache>
                <c:formatCode>0.00</c:formatCode>
                <c:ptCount val="12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pt idx="67">
                  <c:v>3.05</c:v>
                </c:pt>
                <c:pt idx="68">
                  <c:v>3.1</c:v>
                </c:pt>
                <c:pt idx="69">
                  <c:v>3.15</c:v>
                </c:pt>
                <c:pt idx="70">
                  <c:v>3.2</c:v>
                </c:pt>
                <c:pt idx="71">
                  <c:v>3.25</c:v>
                </c:pt>
                <c:pt idx="72">
                  <c:v>3.3</c:v>
                </c:pt>
                <c:pt idx="73">
                  <c:v>3.35</c:v>
                </c:pt>
                <c:pt idx="74">
                  <c:v>3.4</c:v>
                </c:pt>
                <c:pt idx="75">
                  <c:v>3.45</c:v>
                </c:pt>
                <c:pt idx="76">
                  <c:v>3.5</c:v>
                </c:pt>
                <c:pt idx="77">
                  <c:v>3.55</c:v>
                </c:pt>
                <c:pt idx="78">
                  <c:v>3.6</c:v>
                </c:pt>
                <c:pt idx="79">
                  <c:v>3.65</c:v>
                </c:pt>
                <c:pt idx="80">
                  <c:v>3.7</c:v>
                </c:pt>
                <c:pt idx="81">
                  <c:v>3.75</c:v>
                </c:pt>
                <c:pt idx="82">
                  <c:v>3.8</c:v>
                </c:pt>
                <c:pt idx="83">
                  <c:v>3.85</c:v>
                </c:pt>
                <c:pt idx="84">
                  <c:v>3.9</c:v>
                </c:pt>
                <c:pt idx="85">
                  <c:v>3.95</c:v>
                </c:pt>
                <c:pt idx="86">
                  <c:v>4</c:v>
                </c:pt>
                <c:pt idx="87">
                  <c:v>4.05</c:v>
                </c:pt>
                <c:pt idx="88">
                  <c:v>4.0999999999999996</c:v>
                </c:pt>
                <c:pt idx="89">
                  <c:v>4.1500000000000004</c:v>
                </c:pt>
                <c:pt idx="90">
                  <c:v>4.2</c:v>
                </c:pt>
                <c:pt idx="91">
                  <c:v>4.25</c:v>
                </c:pt>
                <c:pt idx="92">
                  <c:v>4.3</c:v>
                </c:pt>
                <c:pt idx="93">
                  <c:v>4.3499999999999996</c:v>
                </c:pt>
                <c:pt idx="94">
                  <c:v>4.4000000000000004</c:v>
                </c:pt>
                <c:pt idx="95">
                  <c:v>4.45</c:v>
                </c:pt>
                <c:pt idx="96">
                  <c:v>4.5</c:v>
                </c:pt>
                <c:pt idx="97">
                  <c:v>4.55</c:v>
                </c:pt>
                <c:pt idx="98">
                  <c:v>4.5999999999999996</c:v>
                </c:pt>
                <c:pt idx="99">
                  <c:v>4.6500000000000004</c:v>
                </c:pt>
                <c:pt idx="100">
                  <c:v>4.7</c:v>
                </c:pt>
                <c:pt idx="101">
                  <c:v>4.75</c:v>
                </c:pt>
                <c:pt idx="102">
                  <c:v>4.8</c:v>
                </c:pt>
                <c:pt idx="103">
                  <c:v>4.8499999999999996</c:v>
                </c:pt>
                <c:pt idx="104">
                  <c:v>4.9000000000000004</c:v>
                </c:pt>
                <c:pt idx="105">
                  <c:v>4.95</c:v>
                </c:pt>
                <c:pt idx="106">
                  <c:v>5</c:v>
                </c:pt>
                <c:pt idx="107">
                  <c:v>5.05</c:v>
                </c:pt>
                <c:pt idx="108">
                  <c:v>5.0999999999999996</c:v>
                </c:pt>
                <c:pt idx="109">
                  <c:v>5.15</c:v>
                </c:pt>
                <c:pt idx="110">
                  <c:v>5.2</c:v>
                </c:pt>
                <c:pt idx="111">
                  <c:v>5.25</c:v>
                </c:pt>
                <c:pt idx="112">
                  <c:v>5.3</c:v>
                </c:pt>
                <c:pt idx="113">
                  <c:v>5.35</c:v>
                </c:pt>
                <c:pt idx="114">
                  <c:v>5.4</c:v>
                </c:pt>
                <c:pt idx="115">
                  <c:v>5.45</c:v>
                </c:pt>
                <c:pt idx="116">
                  <c:v>5.5</c:v>
                </c:pt>
                <c:pt idx="117">
                  <c:v>5.55</c:v>
                </c:pt>
                <c:pt idx="118">
                  <c:v>5.6</c:v>
                </c:pt>
                <c:pt idx="119">
                  <c:v>5.65</c:v>
                </c:pt>
                <c:pt idx="120">
                  <c:v>5.7</c:v>
                </c:pt>
                <c:pt idx="121">
                  <c:v>5.75</c:v>
                </c:pt>
                <c:pt idx="122">
                  <c:v>5.8</c:v>
                </c:pt>
                <c:pt idx="123">
                  <c:v>5.85</c:v>
                </c:pt>
                <c:pt idx="124">
                  <c:v>5.9</c:v>
                </c:pt>
                <c:pt idx="125">
                  <c:v>5.95</c:v>
                </c:pt>
                <c:pt idx="126">
                  <c:v>6</c:v>
                </c:pt>
              </c:numCache>
            </c:numRef>
          </c:xVal>
          <c:yVal>
            <c:numRef>
              <c:f>'Damage Curves - Total'!$R$31:$R$157</c:f>
              <c:numCache>
                <c:formatCode>"$"#,##0</c:formatCode>
                <c:ptCount val="127"/>
                <c:pt idx="0">
                  <c:v>0</c:v>
                </c:pt>
                <c:pt idx="1">
                  <c:v>686.84864930053061</c:v>
                </c:pt>
                <c:pt idx="2">
                  <c:v>1373.6972986010612</c:v>
                </c:pt>
                <c:pt idx="3">
                  <c:v>2060.5459479015922</c:v>
                </c:pt>
                <c:pt idx="4">
                  <c:v>2747.3945972021229</c:v>
                </c:pt>
                <c:pt idx="5">
                  <c:v>3434.2432465026536</c:v>
                </c:pt>
                <c:pt idx="6">
                  <c:v>4121.0918958031843</c:v>
                </c:pt>
                <c:pt idx="7">
                  <c:v>39742.004731427369</c:v>
                </c:pt>
                <c:pt idx="8">
                  <c:v>70362.91756705154</c:v>
                </c:pt>
                <c:pt idx="9">
                  <c:v>77100.229642907274</c:v>
                </c:pt>
                <c:pt idx="10">
                  <c:v>82937.541718762979</c:v>
                </c:pt>
                <c:pt idx="11">
                  <c:v>88774.853794618713</c:v>
                </c:pt>
                <c:pt idx="12">
                  <c:v>92589.748285272086</c:v>
                </c:pt>
                <c:pt idx="13">
                  <c:v>95062.165870474419</c:v>
                </c:pt>
                <c:pt idx="14">
                  <c:v>97534.583455676766</c:v>
                </c:pt>
                <c:pt idx="15">
                  <c:v>100007.00104087911</c:v>
                </c:pt>
                <c:pt idx="16">
                  <c:v>102340.13291179574</c:v>
                </c:pt>
                <c:pt idx="17">
                  <c:v>104161.52306681164</c:v>
                </c:pt>
                <c:pt idx="18">
                  <c:v>105982.91322182753</c:v>
                </c:pt>
                <c:pt idx="19">
                  <c:v>107804.30337684343</c:v>
                </c:pt>
                <c:pt idx="20">
                  <c:v>109625.6935318593</c:v>
                </c:pt>
                <c:pt idx="21">
                  <c:v>111447.08368687521</c:v>
                </c:pt>
                <c:pt idx="22">
                  <c:v>113268.4738418911</c:v>
                </c:pt>
                <c:pt idx="23">
                  <c:v>116179.1497111927</c:v>
                </c:pt>
                <c:pt idx="24">
                  <c:v>119089.82558049432</c:v>
                </c:pt>
                <c:pt idx="25">
                  <c:v>122000.50144979592</c:v>
                </c:pt>
                <c:pt idx="26">
                  <c:v>124911.17731909752</c:v>
                </c:pt>
                <c:pt idx="27">
                  <c:v>126723.28708777012</c:v>
                </c:pt>
                <c:pt idx="28">
                  <c:v>128535.39685644271</c:v>
                </c:pt>
                <c:pt idx="29">
                  <c:v>130347.50662511529</c:v>
                </c:pt>
                <c:pt idx="30">
                  <c:v>132159.61639378784</c:v>
                </c:pt>
                <c:pt idx="31">
                  <c:v>133971.72616246046</c:v>
                </c:pt>
                <c:pt idx="32">
                  <c:v>135783.83593113304</c:v>
                </c:pt>
                <c:pt idx="33">
                  <c:v>137595.94569980563</c:v>
                </c:pt>
                <c:pt idx="34">
                  <c:v>139408.05546847821</c:v>
                </c:pt>
                <c:pt idx="35">
                  <c:v>141220.16523715082</c:v>
                </c:pt>
                <c:pt idx="36">
                  <c:v>143032.27500582341</c:v>
                </c:pt>
                <c:pt idx="37">
                  <c:v>143620.54536301503</c:v>
                </c:pt>
                <c:pt idx="38">
                  <c:v>144208.81572020668</c:v>
                </c:pt>
                <c:pt idx="39">
                  <c:v>144797.08607739833</c:v>
                </c:pt>
                <c:pt idx="40">
                  <c:v>145385.35643458995</c:v>
                </c:pt>
                <c:pt idx="41">
                  <c:v>145973.62679178163</c:v>
                </c:pt>
                <c:pt idx="42">
                  <c:v>146561.89714897325</c:v>
                </c:pt>
                <c:pt idx="43">
                  <c:v>147150.16750616487</c:v>
                </c:pt>
                <c:pt idx="44">
                  <c:v>147738.43786335655</c:v>
                </c:pt>
                <c:pt idx="45">
                  <c:v>148326.70822054817</c:v>
                </c:pt>
                <c:pt idx="46">
                  <c:v>148914.97857773982</c:v>
                </c:pt>
                <c:pt idx="47">
                  <c:v>150857.55051465688</c:v>
                </c:pt>
                <c:pt idx="48">
                  <c:v>152800.12245157402</c:v>
                </c:pt>
                <c:pt idx="49">
                  <c:v>154742.6943884911</c:v>
                </c:pt>
                <c:pt idx="50">
                  <c:v>156685.26632540819</c:v>
                </c:pt>
                <c:pt idx="51">
                  <c:v>158627.83826232527</c:v>
                </c:pt>
                <c:pt idx="52">
                  <c:v>160809.01215315374</c:v>
                </c:pt>
                <c:pt idx="53">
                  <c:v>162990.18604398222</c:v>
                </c:pt>
                <c:pt idx="54">
                  <c:v>165171.35993481067</c:v>
                </c:pt>
                <c:pt idx="55">
                  <c:v>167352.53382563917</c:v>
                </c:pt>
                <c:pt idx="56">
                  <c:v>169533.70771646762</c:v>
                </c:pt>
                <c:pt idx="57">
                  <c:v>171818.76776328974</c:v>
                </c:pt>
                <c:pt idx="58">
                  <c:v>174103.8278101118</c:v>
                </c:pt>
                <c:pt idx="59">
                  <c:v>176388.88785693393</c:v>
                </c:pt>
                <c:pt idx="60">
                  <c:v>178673.94790375605</c:v>
                </c:pt>
                <c:pt idx="61">
                  <c:v>193170.91203483604</c:v>
                </c:pt>
                <c:pt idx="62">
                  <c:v>208383.68202765009</c:v>
                </c:pt>
                <c:pt idx="63">
                  <c:v>223596.45202046435</c:v>
                </c:pt>
                <c:pt idx="64">
                  <c:v>238809.2220132784</c:v>
                </c:pt>
                <c:pt idx="65">
                  <c:v>254021.99200609265</c:v>
                </c:pt>
                <c:pt idx="66">
                  <c:v>269234.76199890673</c:v>
                </c:pt>
                <c:pt idx="67">
                  <c:v>274796.00245084788</c:v>
                </c:pt>
                <c:pt idx="68">
                  <c:v>280357.24290278915</c:v>
                </c:pt>
                <c:pt idx="69">
                  <c:v>285918.48335473036</c:v>
                </c:pt>
                <c:pt idx="70">
                  <c:v>291479.72380667157</c:v>
                </c:pt>
                <c:pt idx="71">
                  <c:v>297040.96425861272</c:v>
                </c:pt>
                <c:pt idx="72">
                  <c:v>301170.59298708569</c:v>
                </c:pt>
                <c:pt idx="73">
                  <c:v>305300.22171555861</c:v>
                </c:pt>
                <c:pt idx="74">
                  <c:v>309429.85044403159</c:v>
                </c:pt>
                <c:pt idx="75">
                  <c:v>313559.47917250462</c:v>
                </c:pt>
                <c:pt idx="76">
                  <c:v>317689.10790097748</c:v>
                </c:pt>
                <c:pt idx="77">
                  <c:v>321102.93076771637</c:v>
                </c:pt>
                <c:pt idx="78">
                  <c:v>324516.75363445521</c:v>
                </c:pt>
                <c:pt idx="79">
                  <c:v>327930.57650119404</c:v>
                </c:pt>
                <c:pt idx="80">
                  <c:v>331344.39936793293</c:v>
                </c:pt>
                <c:pt idx="81">
                  <c:v>334758.22223467176</c:v>
                </c:pt>
                <c:pt idx="82">
                  <c:v>337694.84119358787</c:v>
                </c:pt>
                <c:pt idx="83">
                  <c:v>340631.46015250392</c:v>
                </c:pt>
                <c:pt idx="84">
                  <c:v>343568.07911142008</c:v>
                </c:pt>
                <c:pt idx="85">
                  <c:v>346504.69807033613</c:v>
                </c:pt>
                <c:pt idx="86">
                  <c:v>349441.3170292523</c:v>
                </c:pt>
                <c:pt idx="87">
                  <c:v>349799.21996011934</c:v>
                </c:pt>
                <c:pt idx="88">
                  <c:v>350157.12289098639</c:v>
                </c:pt>
                <c:pt idx="89">
                  <c:v>350515.02582185343</c:v>
                </c:pt>
                <c:pt idx="90">
                  <c:v>350872.92875272047</c:v>
                </c:pt>
                <c:pt idx="91">
                  <c:v>351230.83168358757</c:v>
                </c:pt>
                <c:pt idx="92">
                  <c:v>351469.43363749894</c:v>
                </c:pt>
                <c:pt idx="93">
                  <c:v>351708.0355914103</c:v>
                </c:pt>
                <c:pt idx="94">
                  <c:v>351946.63754532172</c:v>
                </c:pt>
                <c:pt idx="95">
                  <c:v>352185.23949923308</c:v>
                </c:pt>
                <c:pt idx="96">
                  <c:v>352423.84145314444</c:v>
                </c:pt>
                <c:pt idx="97">
                  <c:v>352781.74438401149</c:v>
                </c:pt>
                <c:pt idx="98">
                  <c:v>353139.64731487853</c:v>
                </c:pt>
                <c:pt idx="99">
                  <c:v>353497.55024574557</c:v>
                </c:pt>
                <c:pt idx="100">
                  <c:v>353855.45317661267</c:v>
                </c:pt>
                <c:pt idx="101">
                  <c:v>354213.35610747972</c:v>
                </c:pt>
                <c:pt idx="102">
                  <c:v>354451.95806139108</c:v>
                </c:pt>
                <c:pt idx="103">
                  <c:v>354690.56001530244</c:v>
                </c:pt>
                <c:pt idx="104">
                  <c:v>354929.1619692138</c:v>
                </c:pt>
                <c:pt idx="105">
                  <c:v>355167.76392312523</c:v>
                </c:pt>
                <c:pt idx="106">
                  <c:v>355406.36587703659</c:v>
                </c:pt>
                <c:pt idx="107">
                  <c:v>355525.66685399227</c:v>
                </c:pt>
                <c:pt idx="108">
                  <c:v>355644.96783094795</c:v>
                </c:pt>
                <c:pt idx="109">
                  <c:v>355764.26880790363</c:v>
                </c:pt>
                <c:pt idx="110">
                  <c:v>355883.56978485931</c:v>
                </c:pt>
                <c:pt idx="111">
                  <c:v>356002.87076181499</c:v>
                </c:pt>
                <c:pt idx="112">
                  <c:v>356122.17173877067</c:v>
                </c:pt>
                <c:pt idx="113">
                  <c:v>356241.47271572636</c:v>
                </c:pt>
                <c:pt idx="114">
                  <c:v>356360.77369268204</c:v>
                </c:pt>
                <c:pt idx="115">
                  <c:v>356480.07466963772</c:v>
                </c:pt>
                <c:pt idx="116">
                  <c:v>356599.3756465934</c:v>
                </c:pt>
                <c:pt idx="117">
                  <c:v>356659.0261350713</c:v>
                </c:pt>
                <c:pt idx="118">
                  <c:v>356718.67662354914</c:v>
                </c:pt>
                <c:pt idx="119">
                  <c:v>356778.32711202698</c:v>
                </c:pt>
                <c:pt idx="120">
                  <c:v>356837.97760050482</c:v>
                </c:pt>
                <c:pt idx="121">
                  <c:v>356897.62808898266</c:v>
                </c:pt>
                <c:pt idx="122">
                  <c:v>356957.27857746044</c:v>
                </c:pt>
                <c:pt idx="123">
                  <c:v>357016.92906593834</c:v>
                </c:pt>
                <c:pt idx="124">
                  <c:v>357076.57955441618</c:v>
                </c:pt>
                <c:pt idx="125">
                  <c:v>357136.23004289402</c:v>
                </c:pt>
                <c:pt idx="126">
                  <c:v>357195.88053137186</c:v>
                </c:pt>
              </c:numCache>
            </c:numRef>
          </c:yVal>
          <c:smooth val="0"/>
          <c:extLst>
            <c:ext xmlns:c16="http://schemas.microsoft.com/office/drawing/2014/chart" uri="{C3380CC4-5D6E-409C-BE32-E72D297353CC}">
              <c16:uniqueId val="{00000002-CAA8-432E-B9F8-2C32E27FF5B8}"/>
            </c:ext>
          </c:extLst>
        </c:ser>
        <c:ser>
          <c:idx val="0"/>
          <c:order val="3"/>
          <c:tx>
            <c:strRef>
              <c:f>'Damage Curves - Total'!$S$30</c:f>
              <c:strCache>
                <c:ptCount val="1"/>
                <c:pt idx="0">
                  <c:v>Recommended</c:v>
                </c:pt>
              </c:strCache>
            </c:strRef>
          </c:tx>
          <c:spPr>
            <a:ln w="22225" cap="rnd">
              <a:solidFill>
                <a:schemeClr val="accent1"/>
              </a:solidFill>
              <a:round/>
            </a:ln>
            <a:effectLst/>
          </c:spPr>
          <c:marker>
            <c:symbol val="none"/>
          </c:marker>
          <c:xVal>
            <c:numRef>
              <c:f>'Damage Curves - Total'!$M$31:$M$157</c:f>
              <c:numCache>
                <c:formatCode>0.00</c:formatCode>
                <c:ptCount val="12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pt idx="67">
                  <c:v>3.05</c:v>
                </c:pt>
                <c:pt idx="68">
                  <c:v>3.1</c:v>
                </c:pt>
                <c:pt idx="69">
                  <c:v>3.15</c:v>
                </c:pt>
                <c:pt idx="70">
                  <c:v>3.2</c:v>
                </c:pt>
                <c:pt idx="71">
                  <c:v>3.25</c:v>
                </c:pt>
                <c:pt idx="72">
                  <c:v>3.3</c:v>
                </c:pt>
                <c:pt idx="73">
                  <c:v>3.35</c:v>
                </c:pt>
                <c:pt idx="74">
                  <c:v>3.4</c:v>
                </c:pt>
                <c:pt idx="75">
                  <c:v>3.45</c:v>
                </c:pt>
                <c:pt idx="76">
                  <c:v>3.5</c:v>
                </c:pt>
                <c:pt idx="77">
                  <c:v>3.55</c:v>
                </c:pt>
                <c:pt idx="78">
                  <c:v>3.6</c:v>
                </c:pt>
                <c:pt idx="79">
                  <c:v>3.65</c:v>
                </c:pt>
                <c:pt idx="80">
                  <c:v>3.7</c:v>
                </c:pt>
                <c:pt idx="81">
                  <c:v>3.75</c:v>
                </c:pt>
                <c:pt idx="82">
                  <c:v>3.8</c:v>
                </c:pt>
                <c:pt idx="83">
                  <c:v>3.85</c:v>
                </c:pt>
                <c:pt idx="84">
                  <c:v>3.9</c:v>
                </c:pt>
                <c:pt idx="85">
                  <c:v>3.95</c:v>
                </c:pt>
                <c:pt idx="86">
                  <c:v>4</c:v>
                </c:pt>
                <c:pt idx="87">
                  <c:v>4.05</c:v>
                </c:pt>
                <c:pt idx="88">
                  <c:v>4.0999999999999996</c:v>
                </c:pt>
                <c:pt idx="89">
                  <c:v>4.1500000000000004</c:v>
                </c:pt>
                <c:pt idx="90">
                  <c:v>4.2</c:v>
                </c:pt>
                <c:pt idx="91">
                  <c:v>4.25</c:v>
                </c:pt>
                <c:pt idx="92">
                  <c:v>4.3</c:v>
                </c:pt>
                <c:pt idx="93">
                  <c:v>4.3499999999999996</c:v>
                </c:pt>
                <c:pt idx="94">
                  <c:v>4.4000000000000004</c:v>
                </c:pt>
                <c:pt idx="95">
                  <c:v>4.45</c:v>
                </c:pt>
                <c:pt idx="96">
                  <c:v>4.5</c:v>
                </c:pt>
                <c:pt idx="97">
                  <c:v>4.55</c:v>
                </c:pt>
                <c:pt idx="98">
                  <c:v>4.5999999999999996</c:v>
                </c:pt>
                <c:pt idx="99">
                  <c:v>4.6500000000000004</c:v>
                </c:pt>
                <c:pt idx="100">
                  <c:v>4.7</c:v>
                </c:pt>
                <c:pt idx="101">
                  <c:v>4.75</c:v>
                </c:pt>
                <c:pt idx="102">
                  <c:v>4.8</c:v>
                </c:pt>
                <c:pt idx="103">
                  <c:v>4.8499999999999996</c:v>
                </c:pt>
                <c:pt idx="104">
                  <c:v>4.9000000000000004</c:v>
                </c:pt>
                <c:pt idx="105">
                  <c:v>4.95</c:v>
                </c:pt>
                <c:pt idx="106">
                  <c:v>5</c:v>
                </c:pt>
                <c:pt idx="107">
                  <c:v>5.05</c:v>
                </c:pt>
                <c:pt idx="108">
                  <c:v>5.0999999999999996</c:v>
                </c:pt>
                <c:pt idx="109">
                  <c:v>5.15</c:v>
                </c:pt>
                <c:pt idx="110">
                  <c:v>5.2</c:v>
                </c:pt>
                <c:pt idx="111">
                  <c:v>5.25</c:v>
                </c:pt>
                <c:pt idx="112">
                  <c:v>5.3</c:v>
                </c:pt>
                <c:pt idx="113">
                  <c:v>5.35</c:v>
                </c:pt>
                <c:pt idx="114">
                  <c:v>5.4</c:v>
                </c:pt>
                <c:pt idx="115">
                  <c:v>5.45</c:v>
                </c:pt>
                <c:pt idx="116">
                  <c:v>5.5</c:v>
                </c:pt>
                <c:pt idx="117">
                  <c:v>5.55</c:v>
                </c:pt>
                <c:pt idx="118">
                  <c:v>5.6</c:v>
                </c:pt>
                <c:pt idx="119">
                  <c:v>5.65</c:v>
                </c:pt>
                <c:pt idx="120">
                  <c:v>5.7</c:v>
                </c:pt>
                <c:pt idx="121">
                  <c:v>5.75</c:v>
                </c:pt>
                <c:pt idx="122">
                  <c:v>5.8</c:v>
                </c:pt>
                <c:pt idx="123">
                  <c:v>5.85</c:v>
                </c:pt>
                <c:pt idx="124">
                  <c:v>5.9</c:v>
                </c:pt>
                <c:pt idx="125">
                  <c:v>5.95</c:v>
                </c:pt>
                <c:pt idx="126">
                  <c:v>6</c:v>
                </c:pt>
              </c:numCache>
            </c:numRef>
          </c:xVal>
          <c:yVal>
            <c:numRef>
              <c:f>'Damage Curves - Total'!$S$31:$S$157</c:f>
              <c:numCache>
                <c:formatCode>"$"#,##0</c:formatCode>
                <c:ptCount val="127"/>
                <c:pt idx="0">
                  <c:v>0</c:v>
                </c:pt>
                <c:pt idx="1">
                  <c:v>629.61126185881972</c:v>
                </c:pt>
                <c:pt idx="2">
                  <c:v>1259.2225237176394</c:v>
                </c:pt>
                <c:pt idx="3">
                  <c:v>1888.8337855764596</c:v>
                </c:pt>
                <c:pt idx="4">
                  <c:v>2518.4450474352789</c:v>
                </c:pt>
                <c:pt idx="5">
                  <c:v>3148.0563092940993</c:v>
                </c:pt>
                <c:pt idx="6">
                  <c:v>3777.6675711529192</c:v>
                </c:pt>
                <c:pt idx="7">
                  <c:v>36938.504337141749</c:v>
                </c:pt>
                <c:pt idx="8">
                  <c:v>65099.34110313058</c:v>
                </c:pt>
                <c:pt idx="9">
                  <c:v>71366.877172665001</c:v>
                </c:pt>
                <c:pt idx="10">
                  <c:v>76734.4132421994</c:v>
                </c:pt>
                <c:pt idx="11">
                  <c:v>82101.949311733813</c:v>
                </c:pt>
                <c:pt idx="12">
                  <c:v>85626.019261499416</c:v>
                </c:pt>
                <c:pt idx="13">
                  <c:v>87919.485381268227</c:v>
                </c:pt>
                <c:pt idx="14">
                  <c:v>90212.951501037052</c:v>
                </c:pt>
                <c:pt idx="15">
                  <c:v>92506.417620805849</c:v>
                </c:pt>
                <c:pt idx="16">
                  <c:v>94660.59802628895</c:v>
                </c:pt>
                <c:pt idx="17">
                  <c:v>96345.681858863056</c:v>
                </c:pt>
                <c:pt idx="18">
                  <c:v>98030.765691437147</c:v>
                </c:pt>
                <c:pt idx="19">
                  <c:v>99715.849524011224</c:v>
                </c:pt>
                <c:pt idx="20">
                  <c:v>101400.93335658533</c:v>
                </c:pt>
                <c:pt idx="21">
                  <c:v>103086.01718915942</c:v>
                </c:pt>
                <c:pt idx="22">
                  <c:v>104771.10102173351</c:v>
                </c:pt>
                <c:pt idx="23">
                  <c:v>107545.4705685933</c:v>
                </c:pt>
                <c:pt idx="24">
                  <c:v>110319.84011545312</c:v>
                </c:pt>
                <c:pt idx="25">
                  <c:v>113094.20966231293</c:v>
                </c:pt>
                <c:pt idx="26">
                  <c:v>115868.57920917273</c:v>
                </c:pt>
                <c:pt idx="27">
                  <c:v>117529.67983045593</c:v>
                </c:pt>
                <c:pt idx="28">
                  <c:v>119190.78045173915</c:v>
                </c:pt>
                <c:pt idx="29">
                  <c:v>120851.88107302233</c:v>
                </c:pt>
                <c:pt idx="30">
                  <c:v>122512.98169430555</c:v>
                </c:pt>
                <c:pt idx="31">
                  <c:v>124174.08231558875</c:v>
                </c:pt>
                <c:pt idx="32">
                  <c:v>125835.18293687196</c:v>
                </c:pt>
                <c:pt idx="33">
                  <c:v>127496.28355815516</c:v>
                </c:pt>
                <c:pt idx="34">
                  <c:v>129157.38417943838</c:v>
                </c:pt>
                <c:pt idx="35">
                  <c:v>130818.48480072158</c:v>
                </c:pt>
                <c:pt idx="36">
                  <c:v>132479.58542200481</c:v>
                </c:pt>
                <c:pt idx="37">
                  <c:v>133018.83324943046</c:v>
                </c:pt>
                <c:pt idx="38">
                  <c:v>133558.08107685612</c:v>
                </c:pt>
                <c:pt idx="39">
                  <c:v>134097.32890428181</c:v>
                </c:pt>
                <c:pt idx="40">
                  <c:v>134636.57673170749</c:v>
                </c:pt>
                <c:pt idx="41">
                  <c:v>135175.82455913315</c:v>
                </c:pt>
                <c:pt idx="42">
                  <c:v>135715.07238655881</c:v>
                </c:pt>
                <c:pt idx="43">
                  <c:v>136254.32021398449</c:v>
                </c:pt>
                <c:pt idx="44">
                  <c:v>136793.56804141015</c:v>
                </c:pt>
                <c:pt idx="45">
                  <c:v>137332.81586883584</c:v>
                </c:pt>
                <c:pt idx="46">
                  <c:v>137872.0636962615</c:v>
                </c:pt>
                <c:pt idx="47">
                  <c:v>139652.75463843549</c:v>
                </c:pt>
                <c:pt idx="48">
                  <c:v>141433.44558060949</c:v>
                </c:pt>
                <c:pt idx="49">
                  <c:v>143214.13652278349</c:v>
                </c:pt>
                <c:pt idx="50">
                  <c:v>144994.82746495752</c:v>
                </c:pt>
                <c:pt idx="51">
                  <c:v>146775.51840713152</c:v>
                </c:pt>
                <c:pt idx="52">
                  <c:v>148774.9278070576</c:v>
                </c:pt>
                <c:pt idx="53">
                  <c:v>150774.33720698371</c:v>
                </c:pt>
                <c:pt idx="54">
                  <c:v>152773.74660690979</c:v>
                </c:pt>
                <c:pt idx="55">
                  <c:v>154773.1560068359</c:v>
                </c:pt>
                <c:pt idx="56">
                  <c:v>156772.56540676198</c:v>
                </c:pt>
                <c:pt idx="57">
                  <c:v>158867.20378301558</c:v>
                </c:pt>
                <c:pt idx="58">
                  <c:v>160961.84215926917</c:v>
                </c:pt>
                <c:pt idx="59">
                  <c:v>163056.48053552277</c:v>
                </c:pt>
                <c:pt idx="60">
                  <c:v>165151.1189117764</c:v>
                </c:pt>
                <c:pt idx="61">
                  <c:v>178440.00269859971</c:v>
                </c:pt>
                <c:pt idx="62">
                  <c:v>192385.04185867927</c:v>
                </c:pt>
                <c:pt idx="63">
                  <c:v>206330.08101875897</c:v>
                </c:pt>
                <c:pt idx="64">
                  <c:v>220275.12017883855</c:v>
                </c:pt>
                <c:pt idx="65">
                  <c:v>234220.15933891828</c:v>
                </c:pt>
                <c:pt idx="66">
                  <c:v>248165.19849899787</c:v>
                </c:pt>
                <c:pt idx="67">
                  <c:v>253263.00224661059</c:v>
                </c:pt>
                <c:pt idx="68">
                  <c:v>258360.80599422337</c:v>
                </c:pt>
                <c:pt idx="69">
                  <c:v>263458.60974183615</c:v>
                </c:pt>
                <c:pt idx="70">
                  <c:v>268556.4134894489</c:v>
                </c:pt>
                <c:pt idx="71">
                  <c:v>273654.21723706165</c:v>
                </c:pt>
                <c:pt idx="72">
                  <c:v>277439.71023816185</c:v>
                </c:pt>
                <c:pt idx="73">
                  <c:v>281225.2032392621</c:v>
                </c:pt>
                <c:pt idx="74">
                  <c:v>285010.6962403623</c:v>
                </c:pt>
                <c:pt idx="75">
                  <c:v>288796.18924146256</c:v>
                </c:pt>
                <c:pt idx="76">
                  <c:v>292581.6822425627</c:v>
                </c:pt>
                <c:pt idx="77">
                  <c:v>295711.01987040666</c:v>
                </c:pt>
                <c:pt idx="78">
                  <c:v>298840.35749825061</c:v>
                </c:pt>
                <c:pt idx="79">
                  <c:v>301969.69512609456</c:v>
                </c:pt>
                <c:pt idx="80">
                  <c:v>305099.03275393852</c:v>
                </c:pt>
                <c:pt idx="81">
                  <c:v>308228.37038178241</c:v>
                </c:pt>
                <c:pt idx="82">
                  <c:v>310920.2710941222</c:v>
                </c:pt>
                <c:pt idx="83">
                  <c:v>313612.17180646199</c:v>
                </c:pt>
                <c:pt idx="84">
                  <c:v>316304.07251880172</c:v>
                </c:pt>
                <c:pt idx="85">
                  <c:v>318995.97323114146</c:v>
                </c:pt>
                <c:pt idx="86">
                  <c:v>321687.87394348125</c:v>
                </c:pt>
                <c:pt idx="87">
                  <c:v>322015.95163010934</c:v>
                </c:pt>
                <c:pt idx="88">
                  <c:v>322344.02931673749</c:v>
                </c:pt>
                <c:pt idx="89">
                  <c:v>322672.10700336564</c:v>
                </c:pt>
                <c:pt idx="90">
                  <c:v>323000.18468999374</c:v>
                </c:pt>
                <c:pt idx="91">
                  <c:v>323328.26237662195</c:v>
                </c:pt>
                <c:pt idx="92">
                  <c:v>323546.98083437403</c:v>
                </c:pt>
                <c:pt idx="93">
                  <c:v>323765.69929212611</c:v>
                </c:pt>
                <c:pt idx="94">
                  <c:v>323984.41774987819</c:v>
                </c:pt>
                <c:pt idx="95">
                  <c:v>324203.13620763028</c:v>
                </c:pt>
                <c:pt idx="96">
                  <c:v>324421.85466538236</c:v>
                </c:pt>
                <c:pt idx="97">
                  <c:v>324749.93235201051</c:v>
                </c:pt>
                <c:pt idx="98">
                  <c:v>325078.01003863866</c:v>
                </c:pt>
                <c:pt idx="99">
                  <c:v>325406.08772526681</c:v>
                </c:pt>
                <c:pt idx="100">
                  <c:v>325734.16541189491</c:v>
                </c:pt>
                <c:pt idx="101">
                  <c:v>326062.24309852306</c:v>
                </c:pt>
                <c:pt idx="102">
                  <c:v>326280.96155627514</c:v>
                </c:pt>
                <c:pt idx="103">
                  <c:v>326499.68001402722</c:v>
                </c:pt>
                <c:pt idx="104">
                  <c:v>326718.39847177931</c:v>
                </c:pt>
                <c:pt idx="105">
                  <c:v>326937.11692953145</c:v>
                </c:pt>
                <c:pt idx="106">
                  <c:v>327155.83538728353</c:v>
                </c:pt>
                <c:pt idx="107">
                  <c:v>327265.19461615954</c:v>
                </c:pt>
                <c:pt idx="108">
                  <c:v>327374.55384503561</c:v>
                </c:pt>
                <c:pt idx="109">
                  <c:v>327483.91307391162</c:v>
                </c:pt>
                <c:pt idx="110">
                  <c:v>327593.27230278769</c:v>
                </c:pt>
                <c:pt idx="111">
                  <c:v>327702.6315316637</c:v>
                </c:pt>
                <c:pt idx="112">
                  <c:v>327811.99076053977</c:v>
                </c:pt>
                <c:pt idx="113">
                  <c:v>327921.34998941584</c:v>
                </c:pt>
                <c:pt idx="114">
                  <c:v>328030.70921829186</c:v>
                </c:pt>
                <c:pt idx="115">
                  <c:v>328140.06844716787</c:v>
                </c:pt>
                <c:pt idx="116">
                  <c:v>328249.42767604394</c:v>
                </c:pt>
                <c:pt idx="117">
                  <c:v>328304.10729048197</c:v>
                </c:pt>
                <c:pt idx="118">
                  <c:v>328358.78690492001</c:v>
                </c:pt>
                <c:pt idx="119">
                  <c:v>328413.46651935804</c:v>
                </c:pt>
                <c:pt idx="120">
                  <c:v>328468.14613379608</c:v>
                </c:pt>
                <c:pt idx="121">
                  <c:v>328522.82574823406</c:v>
                </c:pt>
                <c:pt idx="122">
                  <c:v>328577.50536267209</c:v>
                </c:pt>
                <c:pt idx="123">
                  <c:v>328632.18497711013</c:v>
                </c:pt>
                <c:pt idx="124">
                  <c:v>328686.8645915481</c:v>
                </c:pt>
                <c:pt idx="125">
                  <c:v>328741.5442059862</c:v>
                </c:pt>
                <c:pt idx="126">
                  <c:v>328796.22382042417</c:v>
                </c:pt>
              </c:numCache>
            </c:numRef>
          </c:yVal>
          <c:smooth val="0"/>
          <c:extLst>
            <c:ext xmlns:c16="http://schemas.microsoft.com/office/drawing/2014/chart" uri="{C3380CC4-5D6E-409C-BE32-E72D297353CC}">
              <c16:uniqueId val="{00000003-CAA8-432E-B9F8-2C32E27FF5B8}"/>
            </c:ext>
          </c:extLst>
        </c:ser>
        <c:dLbls>
          <c:showLegendKey val="0"/>
          <c:showVal val="0"/>
          <c:showCatName val="0"/>
          <c:showSerName val="0"/>
          <c:showPercent val="0"/>
          <c:showBubbleSize val="0"/>
        </c:dLbls>
        <c:axId val="1750201631"/>
        <c:axId val="1750199551"/>
      </c:scatterChart>
      <c:valAx>
        <c:axId val="1750201631"/>
        <c:scaling>
          <c:orientation val="minMax"/>
          <c:max val="6"/>
        </c:scaling>
        <c:delete val="0"/>
        <c:axPos val="b"/>
        <c:majorGridlines>
          <c:spPr>
            <a:ln w="9525" cap="flat" cmpd="sng" algn="ctr">
              <a:solidFill>
                <a:schemeClr val="tx1">
                  <a:lumMod val="15000"/>
                  <a:lumOff val="85000"/>
                </a:schemeClr>
              </a:solidFill>
              <a:round/>
            </a:ln>
            <a:effectLst/>
          </c:spPr>
        </c:majorGridlines>
        <c:minorGridlines>
          <c:spPr>
            <a:ln>
              <a:solidFill>
                <a:schemeClr val="tx1">
                  <a:lumMod val="5000"/>
                  <a:lumOff val="95000"/>
                </a:schemeClr>
              </a:solidFill>
            </a:ln>
            <a:effectLst/>
          </c:spPr>
        </c:minorGridlines>
        <c:title>
          <c:tx>
            <c:rich>
              <a:bodyPr rot="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r>
                  <a:rPr lang="en-US"/>
                  <a:t>Depth above Floor Level (m)</a:t>
                </a:r>
              </a:p>
            </c:rich>
          </c:tx>
          <c:overlay val="0"/>
          <c:spPr>
            <a:noFill/>
            <a:ln>
              <a:noFill/>
            </a:ln>
            <a:effectLst/>
          </c:spPr>
          <c:txPr>
            <a:bodyPr rot="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120" normalizeH="0" baseline="0">
                <a:solidFill>
                  <a:schemeClr val="tx1">
                    <a:lumMod val="65000"/>
                    <a:lumOff val="35000"/>
                  </a:schemeClr>
                </a:solidFill>
                <a:latin typeface="+mn-lt"/>
                <a:ea typeface="+mn-ea"/>
                <a:cs typeface="+mn-cs"/>
              </a:defRPr>
            </a:pPr>
            <a:endParaRPr lang="en-US"/>
          </a:p>
        </c:txPr>
        <c:crossAx val="1750199551"/>
        <c:crosses val="autoZero"/>
        <c:crossBetween val="midCat"/>
      </c:valAx>
      <c:valAx>
        <c:axId val="17501995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r>
                  <a:rPr lang="en-AU"/>
                  <a:t>Total Damages ($)</a:t>
                </a:r>
              </a:p>
            </c:rich>
          </c:tx>
          <c:overlay val="0"/>
          <c:spPr>
            <a:noFill/>
            <a:ln>
              <a:noFill/>
            </a:ln>
            <a:effectLst/>
          </c:spPr>
          <c:txPr>
            <a:bodyPr rot="-540000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en-US"/>
          </a:p>
        </c:txPr>
        <c:crossAx val="1750201631"/>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cap="none" baseline="0">
          <a:latin typeface="+mn-lt"/>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120" normalizeH="0" baseline="0">
                <a:solidFill>
                  <a:schemeClr val="tx1">
                    <a:lumMod val="65000"/>
                    <a:lumOff val="35000"/>
                  </a:schemeClr>
                </a:solidFill>
                <a:latin typeface="+mn-lt"/>
                <a:ea typeface="+mn-ea"/>
                <a:cs typeface="+mn-cs"/>
              </a:defRPr>
            </a:pPr>
            <a:r>
              <a:rPr lang="en-US"/>
              <a:t>Commercial Properties</a:t>
            </a:r>
          </a:p>
        </c:rich>
      </c:tx>
      <c:overlay val="0"/>
      <c:spPr>
        <a:noFill/>
        <a:ln>
          <a:noFill/>
        </a:ln>
        <a:effectLst/>
      </c:spPr>
      <c:txPr>
        <a:bodyPr rot="0" spcFirstLastPara="1" vertOverflow="ellipsis" vert="horz" wrap="square" anchor="ctr" anchorCtr="1"/>
        <a:lstStyle/>
        <a:p>
          <a:pPr>
            <a:defRPr sz="1600" b="1" i="0" u="none" strike="noStrike" kern="1200" cap="none" spc="120" normalizeH="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'Damage Curves - Total'!$Z$30</c:f>
              <c:strCache>
                <c:ptCount val="1"/>
                <c:pt idx="0">
                  <c:v>Public Buildings</c:v>
                </c:pt>
              </c:strCache>
            </c:strRef>
          </c:tx>
          <c:spPr>
            <a:ln w="22225" cap="rnd">
              <a:solidFill>
                <a:schemeClr val="accent5"/>
              </a:solidFill>
              <a:round/>
            </a:ln>
            <a:effectLst/>
          </c:spPr>
          <c:marker>
            <c:symbol val="none"/>
          </c:marker>
          <c:xVal>
            <c:numRef>
              <c:f>'Damage Curves - Total'!$Y$31:$Y$117</c:f>
              <c:numCache>
                <c:formatCode>0.00</c:formatCode>
                <c:ptCount val="8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pt idx="67">
                  <c:v>3.05</c:v>
                </c:pt>
                <c:pt idx="68">
                  <c:v>3.1</c:v>
                </c:pt>
                <c:pt idx="69">
                  <c:v>3.15</c:v>
                </c:pt>
                <c:pt idx="70">
                  <c:v>3.2</c:v>
                </c:pt>
                <c:pt idx="71">
                  <c:v>3.25</c:v>
                </c:pt>
                <c:pt idx="72">
                  <c:v>3.3</c:v>
                </c:pt>
                <c:pt idx="73">
                  <c:v>3.35</c:v>
                </c:pt>
                <c:pt idx="74">
                  <c:v>3.4</c:v>
                </c:pt>
                <c:pt idx="75">
                  <c:v>3.45</c:v>
                </c:pt>
                <c:pt idx="76">
                  <c:v>3.5</c:v>
                </c:pt>
                <c:pt idx="77">
                  <c:v>3.55</c:v>
                </c:pt>
                <c:pt idx="78">
                  <c:v>3.6</c:v>
                </c:pt>
                <c:pt idx="79">
                  <c:v>3.65</c:v>
                </c:pt>
                <c:pt idx="80">
                  <c:v>3.7</c:v>
                </c:pt>
                <c:pt idx="81">
                  <c:v>3.75</c:v>
                </c:pt>
                <c:pt idx="82">
                  <c:v>3.8</c:v>
                </c:pt>
                <c:pt idx="83">
                  <c:v>3.85</c:v>
                </c:pt>
                <c:pt idx="84">
                  <c:v>3.9</c:v>
                </c:pt>
                <c:pt idx="85">
                  <c:v>3.95</c:v>
                </c:pt>
                <c:pt idx="86">
                  <c:v>4</c:v>
                </c:pt>
              </c:numCache>
            </c:numRef>
          </c:xVal>
          <c:yVal>
            <c:numRef>
              <c:f>'Damage Curves - Total'!$Z$31:$Z$117</c:f>
              <c:numCache>
                <c:formatCode>"$"#,##0</c:formatCode>
                <c:ptCount val="87"/>
                <c:pt idx="0">
                  <c:v>0</c:v>
                </c:pt>
                <c:pt idx="1">
                  <c:v>0</c:v>
                </c:pt>
                <c:pt idx="2">
                  <c:v>0</c:v>
                </c:pt>
                <c:pt idx="3">
                  <c:v>0</c:v>
                </c:pt>
                <c:pt idx="4">
                  <c:v>0</c:v>
                </c:pt>
                <c:pt idx="5">
                  <c:v>0</c:v>
                </c:pt>
                <c:pt idx="6">
                  <c:v>0</c:v>
                </c:pt>
                <c:pt idx="7">
                  <c:v>50.81493517584039</c:v>
                </c:pt>
                <c:pt idx="8">
                  <c:v>101.62987035168078</c:v>
                </c:pt>
                <c:pt idx="9">
                  <c:v>152.44480552752117</c:v>
                </c:pt>
                <c:pt idx="10">
                  <c:v>203.25974070336156</c:v>
                </c:pt>
                <c:pt idx="11">
                  <c:v>254.074675879202</c:v>
                </c:pt>
                <c:pt idx="12">
                  <c:v>275.39318375902496</c:v>
                </c:pt>
                <c:pt idx="13">
                  <c:v>296.71169163884792</c:v>
                </c:pt>
                <c:pt idx="14">
                  <c:v>318.03019951867094</c:v>
                </c:pt>
                <c:pt idx="15">
                  <c:v>339.34870739849396</c:v>
                </c:pt>
                <c:pt idx="16">
                  <c:v>360.66721527831692</c:v>
                </c:pt>
                <c:pt idx="17">
                  <c:v>381.98572315813999</c:v>
                </c:pt>
                <c:pt idx="18">
                  <c:v>403.30423103796289</c:v>
                </c:pt>
                <c:pt idx="19">
                  <c:v>424.62273891778591</c:v>
                </c:pt>
                <c:pt idx="20">
                  <c:v>445.94124679760898</c:v>
                </c:pt>
                <c:pt idx="21">
                  <c:v>467.25975467743194</c:v>
                </c:pt>
                <c:pt idx="22">
                  <c:v>490.7800100923842</c:v>
                </c:pt>
                <c:pt idx="23">
                  <c:v>514.30026550733658</c:v>
                </c:pt>
                <c:pt idx="24">
                  <c:v>537.82052092228878</c:v>
                </c:pt>
                <c:pt idx="25">
                  <c:v>561.34077633724098</c:v>
                </c:pt>
                <c:pt idx="26">
                  <c:v>584.86103175219318</c:v>
                </c:pt>
                <c:pt idx="27">
                  <c:v>608.3812871671455</c:v>
                </c:pt>
                <c:pt idx="28">
                  <c:v>631.90154258209782</c:v>
                </c:pt>
                <c:pt idx="29">
                  <c:v>655.42179799705002</c:v>
                </c:pt>
                <c:pt idx="30">
                  <c:v>678.94205341200222</c:v>
                </c:pt>
                <c:pt idx="31">
                  <c:v>702.46230882695454</c:v>
                </c:pt>
                <c:pt idx="32">
                  <c:v>711.0479592681728</c:v>
                </c:pt>
                <c:pt idx="33">
                  <c:v>719.63360970939118</c:v>
                </c:pt>
                <c:pt idx="34">
                  <c:v>728.21926015060944</c:v>
                </c:pt>
                <c:pt idx="35">
                  <c:v>736.80491059182782</c:v>
                </c:pt>
                <c:pt idx="36">
                  <c:v>745.39056103304597</c:v>
                </c:pt>
                <c:pt idx="37">
                  <c:v>753.97621147426435</c:v>
                </c:pt>
                <c:pt idx="38">
                  <c:v>762.56186191548272</c:v>
                </c:pt>
                <c:pt idx="39">
                  <c:v>771.1475123567011</c:v>
                </c:pt>
                <c:pt idx="40">
                  <c:v>779.73316279791948</c:v>
                </c:pt>
                <c:pt idx="41">
                  <c:v>788.31881323913785</c:v>
                </c:pt>
                <c:pt idx="42">
                  <c:v>796.90446368035612</c:v>
                </c:pt>
                <c:pt idx="43">
                  <c:v>805.49011412157449</c:v>
                </c:pt>
                <c:pt idx="44">
                  <c:v>814.07576456279287</c:v>
                </c:pt>
                <c:pt idx="45">
                  <c:v>822.66141500401125</c:v>
                </c:pt>
                <c:pt idx="46">
                  <c:v>831.24706544522962</c:v>
                </c:pt>
                <c:pt idx="47">
                  <c:v>833.20417436534444</c:v>
                </c:pt>
                <c:pt idx="48">
                  <c:v>835.16128328545938</c:v>
                </c:pt>
                <c:pt idx="49">
                  <c:v>837.1183922055742</c:v>
                </c:pt>
                <c:pt idx="50">
                  <c:v>839.07550112568913</c:v>
                </c:pt>
                <c:pt idx="51">
                  <c:v>841.03261004580395</c:v>
                </c:pt>
                <c:pt idx="52">
                  <c:v>842.98971896591888</c:v>
                </c:pt>
                <c:pt idx="53">
                  <c:v>844.9468278860337</c:v>
                </c:pt>
                <c:pt idx="54">
                  <c:v>846.90393680614886</c:v>
                </c:pt>
                <c:pt idx="55">
                  <c:v>848.86104572626368</c:v>
                </c:pt>
                <c:pt idx="56">
                  <c:v>850.8181546463785</c:v>
                </c:pt>
                <c:pt idx="57">
                  <c:v>852.77526356649332</c:v>
                </c:pt>
                <c:pt idx="58">
                  <c:v>854.73237248660837</c:v>
                </c:pt>
                <c:pt idx="59">
                  <c:v>856.68948140672319</c:v>
                </c:pt>
                <c:pt idx="60">
                  <c:v>858.64659032683812</c:v>
                </c:pt>
                <c:pt idx="61">
                  <c:v>860.60369924695294</c:v>
                </c:pt>
                <c:pt idx="62">
                  <c:v>862.56080816706788</c:v>
                </c:pt>
                <c:pt idx="63">
                  <c:v>864.5179170871827</c:v>
                </c:pt>
                <c:pt idx="64">
                  <c:v>866.47502600729774</c:v>
                </c:pt>
                <c:pt idx="65">
                  <c:v>868.43213492741256</c:v>
                </c:pt>
                <c:pt idx="66">
                  <c:v>870.38924384752761</c:v>
                </c:pt>
                <c:pt idx="67">
                  <c:v>872.34635276764243</c:v>
                </c:pt>
                <c:pt idx="68">
                  <c:v>874.30346168775725</c:v>
                </c:pt>
                <c:pt idx="69">
                  <c:v>876.26057060787207</c:v>
                </c:pt>
                <c:pt idx="70">
                  <c:v>878.21767952798712</c:v>
                </c:pt>
                <c:pt idx="71">
                  <c:v>880.17478844810194</c:v>
                </c:pt>
                <c:pt idx="72">
                  <c:v>882.13189736821687</c:v>
                </c:pt>
                <c:pt idx="73">
                  <c:v>884.08900628833169</c:v>
                </c:pt>
                <c:pt idx="74">
                  <c:v>886.04611520844662</c:v>
                </c:pt>
                <c:pt idx="75">
                  <c:v>888.00322412856144</c:v>
                </c:pt>
                <c:pt idx="76">
                  <c:v>889.96033304867638</c:v>
                </c:pt>
                <c:pt idx="77">
                  <c:v>891.91744196879119</c:v>
                </c:pt>
                <c:pt idx="78">
                  <c:v>893.87455088890624</c:v>
                </c:pt>
                <c:pt idx="79">
                  <c:v>895.83165980902118</c:v>
                </c:pt>
                <c:pt idx="80">
                  <c:v>897.78876872913611</c:v>
                </c:pt>
                <c:pt idx="81">
                  <c:v>899.74587764925082</c:v>
                </c:pt>
                <c:pt idx="82">
                  <c:v>901.70290828814018</c:v>
                </c:pt>
                <c:pt idx="83">
                  <c:v>903.65993892702954</c:v>
                </c:pt>
                <c:pt idx="84">
                  <c:v>905.61696956591879</c:v>
                </c:pt>
                <c:pt idx="85">
                  <c:v>907.57400020480827</c:v>
                </c:pt>
                <c:pt idx="86">
                  <c:v>909.53103084369764</c:v>
                </c:pt>
              </c:numCache>
            </c:numRef>
          </c:yVal>
          <c:smooth val="0"/>
          <c:extLst>
            <c:ext xmlns:c16="http://schemas.microsoft.com/office/drawing/2014/chart" uri="{C3380CC4-5D6E-409C-BE32-E72D297353CC}">
              <c16:uniqueId val="{00000000-3CA6-41DB-8EEA-28A9888C31C9}"/>
            </c:ext>
          </c:extLst>
        </c:ser>
        <c:ser>
          <c:idx val="2"/>
          <c:order val="1"/>
          <c:tx>
            <c:strRef>
              <c:f>'Damage Curves - Total'!$AA$30</c:f>
              <c:strCache>
                <c:ptCount val="1"/>
                <c:pt idx="0">
                  <c:v>Low to Medium</c:v>
                </c:pt>
              </c:strCache>
            </c:strRef>
          </c:tx>
          <c:spPr>
            <a:ln w="22225" cap="rnd">
              <a:solidFill>
                <a:schemeClr val="accent4"/>
              </a:solidFill>
              <a:round/>
            </a:ln>
            <a:effectLst/>
          </c:spPr>
          <c:marker>
            <c:symbol val="none"/>
          </c:marker>
          <c:xVal>
            <c:numRef>
              <c:f>'Damage Curves - Total'!$Y$31:$Y$117</c:f>
              <c:numCache>
                <c:formatCode>0.00</c:formatCode>
                <c:ptCount val="8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pt idx="67">
                  <c:v>3.05</c:v>
                </c:pt>
                <c:pt idx="68">
                  <c:v>3.1</c:v>
                </c:pt>
                <c:pt idx="69">
                  <c:v>3.15</c:v>
                </c:pt>
                <c:pt idx="70">
                  <c:v>3.2</c:v>
                </c:pt>
                <c:pt idx="71">
                  <c:v>3.25</c:v>
                </c:pt>
                <c:pt idx="72">
                  <c:v>3.3</c:v>
                </c:pt>
                <c:pt idx="73">
                  <c:v>3.35</c:v>
                </c:pt>
                <c:pt idx="74">
                  <c:v>3.4</c:v>
                </c:pt>
                <c:pt idx="75">
                  <c:v>3.45</c:v>
                </c:pt>
                <c:pt idx="76">
                  <c:v>3.5</c:v>
                </c:pt>
                <c:pt idx="77">
                  <c:v>3.55</c:v>
                </c:pt>
                <c:pt idx="78">
                  <c:v>3.6</c:v>
                </c:pt>
                <c:pt idx="79">
                  <c:v>3.65</c:v>
                </c:pt>
                <c:pt idx="80">
                  <c:v>3.7</c:v>
                </c:pt>
                <c:pt idx="81">
                  <c:v>3.75</c:v>
                </c:pt>
                <c:pt idx="82">
                  <c:v>3.8</c:v>
                </c:pt>
                <c:pt idx="83">
                  <c:v>3.85</c:v>
                </c:pt>
                <c:pt idx="84">
                  <c:v>3.9</c:v>
                </c:pt>
                <c:pt idx="85">
                  <c:v>3.95</c:v>
                </c:pt>
                <c:pt idx="86">
                  <c:v>4</c:v>
                </c:pt>
              </c:numCache>
            </c:numRef>
          </c:xVal>
          <c:yVal>
            <c:numRef>
              <c:f>'Damage Curves - Total'!$AA$31:$AA$117</c:f>
              <c:numCache>
                <c:formatCode>"$"#,##0</c:formatCode>
                <c:ptCount val="87"/>
                <c:pt idx="0">
                  <c:v>0</c:v>
                </c:pt>
                <c:pt idx="1">
                  <c:v>0</c:v>
                </c:pt>
                <c:pt idx="2">
                  <c:v>0</c:v>
                </c:pt>
                <c:pt idx="3">
                  <c:v>0</c:v>
                </c:pt>
                <c:pt idx="4">
                  <c:v>0</c:v>
                </c:pt>
                <c:pt idx="5">
                  <c:v>0</c:v>
                </c:pt>
                <c:pt idx="6">
                  <c:v>0</c:v>
                </c:pt>
                <c:pt idx="7">
                  <c:v>65.333488083223358</c:v>
                </c:pt>
                <c:pt idx="8">
                  <c:v>130.66697616644672</c:v>
                </c:pt>
                <c:pt idx="9">
                  <c:v>196.00046424967007</c:v>
                </c:pt>
                <c:pt idx="10">
                  <c:v>261.33395233289343</c:v>
                </c:pt>
                <c:pt idx="11">
                  <c:v>326.66744041611685</c:v>
                </c:pt>
                <c:pt idx="12">
                  <c:v>354.07695054731778</c:v>
                </c:pt>
                <c:pt idx="13">
                  <c:v>381.48646067851882</c:v>
                </c:pt>
                <c:pt idx="14">
                  <c:v>408.89597080971976</c:v>
                </c:pt>
                <c:pt idx="15">
                  <c:v>436.3054809409208</c:v>
                </c:pt>
                <c:pt idx="16">
                  <c:v>463.71499107212173</c:v>
                </c:pt>
                <c:pt idx="17">
                  <c:v>491.12450120332278</c:v>
                </c:pt>
                <c:pt idx="18">
                  <c:v>518.53401133452371</c:v>
                </c:pt>
                <c:pt idx="19">
                  <c:v>545.94352146572476</c:v>
                </c:pt>
                <c:pt idx="20">
                  <c:v>573.3530315969258</c:v>
                </c:pt>
                <c:pt idx="21">
                  <c:v>600.76254172812673</c:v>
                </c:pt>
                <c:pt idx="22">
                  <c:v>631.00287011877958</c:v>
                </c:pt>
                <c:pt idx="23">
                  <c:v>661.24319850943266</c:v>
                </c:pt>
                <c:pt idx="24">
                  <c:v>691.48352690008551</c:v>
                </c:pt>
                <c:pt idx="25">
                  <c:v>721.72385529073836</c:v>
                </c:pt>
                <c:pt idx="26">
                  <c:v>751.96418368139121</c:v>
                </c:pt>
                <c:pt idx="27">
                  <c:v>782.20451207204417</c:v>
                </c:pt>
                <c:pt idx="28">
                  <c:v>812.44484046269724</c:v>
                </c:pt>
                <c:pt idx="29">
                  <c:v>842.68516885334998</c:v>
                </c:pt>
                <c:pt idx="30">
                  <c:v>872.92549724400283</c:v>
                </c:pt>
                <c:pt idx="31">
                  <c:v>903.16582563465579</c:v>
                </c:pt>
                <c:pt idx="32">
                  <c:v>914.2045190590793</c:v>
                </c:pt>
                <c:pt idx="33">
                  <c:v>925.24321248350293</c:v>
                </c:pt>
                <c:pt idx="34">
                  <c:v>936.28190590792633</c:v>
                </c:pt>
                <c:pt idx="35">
                  <c:v>947.32059933234996</c:v>
                </c:pt>
                <c:pt idx="36">
                  <c:v>958.35929275677336</c:v>
                </c:pt>
                <c:pt idx="37">
                  <c:v>969.39798618119698</c:v>
                </c:pt>
                <c:pt idx="38">
                  <c:v>980.43667960562061</c:v>
                </c:pt>
                <c:pt idx="39">
                  <c:v>991.47537303004424</c:v>
                </c:pt>
                <c:pt idx="40">
                  <c:v>1002.5140664544679</c:v>
                </c:pt>
                <c:pt idx="41">
                  <c:v>1013.5527598788915</c:v>
                </c:pt>
                <c:pt idx="42">
                  <c:v>1024.5914533033151</c:v>
                </c:pt>
                <c:pt idx="43">
                  <c:v>1035.6301467277385</c:v>
                </c:pt>
                <c:pt idx="44">
                  <c:v>1046.6688401521624</c:v>
                </c:pt>
                <c:pt idx="45">
                  <c:v>1057.7075335765858</c:v>
                </c:pt>
                <c:pt idx="46">
                  <c:v>1068.7462270010096</c:v>
                </c:pt>
                <c:pt idx="47">
                  <c:v>1071.2625098982999</c:v>
                </c:pt>
                <c:pt idx="48">
                  <c:v>1073.7787927955906</c:v>
                </c:pt>
                <c:pt idx="49">
                  <c:v>1076.295075692881</c:v>
                </c:pt>
                <c:pt idx="50">
                  <c:v>1078.8113585901717</c:v>
                </c:pt>
                <c:pt idx="51">
                  <c:v>1081.3276414874622</c:v>
                </c:pt>
                <c:pt idx="52">
                  <c:v>1083.8439243847529</c:v>
                </c:pt>
                <c:pt idx="53">
                  <c:v>1086.3602072820431</c:v>
                </c:pt>
                <c:pt idx="54">
                  <c:v>1088.8764901793343</c:v>
                </c:pt>
                <c:pt idx="55">
                  <c:v>1091.3927730766247</c:v>
                </c:pt>
                <c:pt idx="56">
                  <c:v>1093.9090559739152</c:v>
                </c:pt>
                <c:pt idx="57">
                  <c:v>1096.4253388712057</c:v>
                </c:pt>
                <c:pt idx="58">
                  <c:v>1098.9416217684966</c:v>
                </c:pt>
                <c:pt idx="59">
                  <c:v>1101.4579046657868</c:v>
                </c:pt>
                <c:pt idx="60">
                  <c:v>1103.9741875630775</c:v>
                </c:pt>
                <c:pt idx="61">
                  <c:v>1106.490470460368</c:v>
                </c:pt>
                <c:pt idx="62">
                  <c:v>1109.0067533576587</c:v>
                </c:pt>
                <c:pt idx="63">
                  <c:v>1111.5230362549491</c:v>
                </c:pt>
                <c:pt idx="64">
                  <c:v>1114.0393191522398</c:v>
                </c:pt>
                <c:pt idx="65">
                  <c:v>1116.5556020495303</c:v>
                </c:pt>
                <c:pt idx="66">
                  <c:v>1119.0718849468212</c:v>
                </c:pt>
                <c:pt idx="67">
                  <c:v>1121.5881678441117</c:v>
                </c:pt>
                <c:pt idx="68">
                  <c:v>1124.1044507414022</c:v>
                </c:pt>
                <c:pt idx="69">
                  <c:v>1126.6207336386926</c:v>
                </c:pt>
                <c:pt idx="70">
                  <c:v>1129.1370165359835</c:v>
                </c:pt>
                <c:pt idx="71">
                  <c:v>1131.6532994332738</c:v>
                </c:pt>
                <c:pt idx="72">
                  <c:v>1134.1695823305645</c:v>
                </c:pt>
                <c:pt idx="73">
                  <c:v>1136.6858652278549</c:v>
                </c:pt>
                <c:pt idx="74">
                  <c:v>1139.2021481251456</c:v>
                </c:pt>
                <c:pt idx="75">
                  <c:v>1141.7184310224361</c:v>
                </c:pt>
                <c:pt idx="76">
                  <c:v>1144.2347139197268</c:v>
                </c:pt>
                <c:pt idx="77">
                  <c:v>1146.750996817017</c:v>
                </c:pt>
                <c:pt idx="78">
                  <c:v>1149.267279714308</c:v>
                </c:pt>
                <c:pt idx="79">
                  <c:v>1151.7835626115987</c:v>
                </c:pt>
                <c:pt idx="80">
                  <c:v>1154.2998455088891</c:v>
                </c:pt>
                <c:pt idx="81">
                  <c:v>1156.8161284061796</c:v>
                </c:pt>
                <c:pt idx="82">
                  <c:v>1159.3323106561802</c:v>
                </c:pt>
                <c:pt idx="83">
                  <c:v>1161.8484929061808</c:v>
                </c:pt>
                <c:pt idx="84">
                  <c:v>1164.3646751561814</c:v>
                </c:pt>
                <c:pt idx="85">
                  <c:v>1166.880857406182</c:v>
                </c:pt>
                <c:pt idx="86">
                  <c:v>1169.3970396561826</c:v>
                </c:pt>
              </c:numCache>
            </c:numRef>
          </c:yVal>
          <c:smooth val="0"/>
          <c:extLst>
            <c:ext xmlns:c16="http://schemas.microsoft.com/office/drawing/2014/chart" uri="{C3380CC4-5D6E-409C-BE32-E72D297353CC}">
              <c16:uniqueId val="{00000001-3CA6-41DB-8EEA-28A9888C31C9}"/>
            </c:ext>
          </c:extLst>
        </c:ser>
        <c:ser>
          <c:idx val="0"/>
          <c:order val="2"/>
          <c:tx>
            <c:strRef>
              <c:f>'Damage Curves - Total'!$AC$30</c:f>
              <c:strCache>
                <c:ptCount val="1"/>
                <c:pt idx="0">
                  <c:v>Medium to High</c:v>
                </c:pt>
              </c:strCache>
            </c:strRef>
          </c:tx>
          <c:spPr>
            <a:ln w="22225" cap="rnd">
              <a:solidFill>
                <a:schemeClr val="accent6"/>
              </a:solidFill>
              <a:round/>
            </a:ln>
            <a:effectLst/>
          </c:spPr>
          <c:marker>
            <c:symbol val="none"/>
          </c:marker>
          <c:xVal>
            <c:numRef>
              <c:f>'Damage Curves - Total'!$Y$31:$Y$117</c:f>
              <c:numCache>
                <c:formatCode>0.00</c:formatCode>
                <c:ptCount val="8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pt idx="67">
                  <c:v>3.05</c:v>
                </c:pt>
                <c:pt idx="68">
                  <c:v>3.1</c:v>
                </c:pt>
                <c:pt idx="69">
                  <c:v>3.15</c:v>
                </c:pt>
                <c:pt idx="70">
                  <c:v>3.2</c:v>
                </c:pt>
                <c:pt idx="71">
                  <c:v>3.25</c:v>
                </c:pt>
                <c:pt idx="72">
                  <c:v>3.3</c:v>
                </c:pt>
                <c:pt idx="73">
                  <c:v>3.35</c:v>
                </c:pt>
                <c:pt idx="74">
                  <c:v>3.4</c:v>
                </c:pt>
                <c:pt idx="75">
                  <c:v>3.45</c:v>
                </c:pt>
                <c:pt idx="76">
                  <c:v>3.5</c:v>
                </c:pt>
                <c:pt idx="77">
                  <c:v>3.55</c:v>
                </c:pt>
                <c:pt idx="78">
                  <c:v>3.6</c:v>
                </c:pt>
                <c:pt idx="79">
                  <c:v>3.65</c:v>
                </c:pt>
                <c:pt idx="80">
                  <c:v>3.7</c:v>
                </c:pt>
                <c:pt idx="81">
                  <c:v>3.75</c:v>
                </c:pt>
                <c:pt idx="82">
                  <c:v>3.8</c:v>
                </c:pt>
                <c:pt idx="83">
                  <c:v>3.85</c:v>
                </c:pt>
                <c:pt idx="84">
                  <c:v>3.9</c:v>
                </c:pt>
                <c:pt idx="85">
                  <c:v>3.95</c:v>
                </c:pt>
                <c:pt idx="86">
                  <c:v>4</c:v>
                </c:pt>
              </c:numCache>
            </c:numRef>
          </c:xVal>
          <c:yVal>
            <c:numRef>
              <c:f>'Damage Curves - Total'!$AC$31:$AC$117</c:f>
              <c:numCache>
                <c:formatCode>"$"#,##0</c:formatCode>
                <c:ptCount val="87"/>
                <c:pt idx="0">
                  <c:v>0</c:v>
                </c:pt>
                <c:pt idx="1">
                  <c:v>0</c:v>
                </c:pt>
                <c:pt idx="2">
                  <c:v>0</c:v>
                </c:pt>
                <c:pt idx="3">
                  <c:v>0</c:v>
                </c:pt>
                <c:pt idx="4">
                  <c:v>0</c:v>
                </c:pt>
                <c:pt idx="5">
                  <c:v>0</c:v>
                </c:pt>
                <c:pt idx="6">
                  <c:v>0</c:v>
                </c:pt>
                <c:pt idx="7">
                  <c:v>130.66697616644672</c:v>
                </c:pt>
                <c:pt idx="8">
                  <c:v>261.33395233289343</c:v>
                </c:pt>
                <c:pt idx="9">
                  <c:v>392.0009284993402</c:v>
                </c:pt>
                <c:pt idx="10">
                  <c:v>522.66790466578686</c:v>
                </c:pt>
                <c:pt idx="11">
                  <c:v>653.33488083223369</c:v>
                </c:pt>
                <c:pt idx="12">
                  <c:v>708.15390109463556</c:v>
                </c:pt>
                <c:pt idx="13">
                  <c:v>762.97292135703754</c:v>
                </c:pt>
                <c:pt idx="14">
                  <c:v>817.79194161943951</c:v>
                </c:pt>
                <c:pt idx="15">
                  <c:v>872.6109618818416</c:v>
                </c:pt>
                <c:pt idx="16">
                  <c:v>927.42998214424358</c:v>
                </c:pt>
                <c:pt idx="17">
                  <c:v>982.24900240664567</c:v>
                </c:pt>
                <c:pt idx="18">
                  <c:v>1037.0680226690474</c:v>
                </c:pt>
                <c:pt idx="19">
                  <c:v>1091.8870429314495</c:v>
                </c:pt>
                <c:pt idx="20">
                  <c:v>1146.7060631938516</c:v>
                </c:pt>
                <c:pt idx="21">
                  <c:v>1201.5250834562535</c:v>
                </c:pt>
                <c:pt idx="22">
                  <c:v>1262.0057402375594</c:v>
                </c:pt>
                <c:pt idx="23">
                  <c:v>1322.4863970188655</c:v>
                </c:pt>
                <c:pt idx="24">
                  <c:v>1382.967053800171</c:v>
                </c:pt>
                <c:pt idx="25">
                  <c:v>1443.4477105814767</c:v>
                </c:pt>
                <c:pt idx="26">
                  <c:v>1503.9283673627826</c:v>
                </c:pt>
                <c:pt idx="27">
                  <c:v>1564.4090241440886</c:v>
                </c:pt>
                <c:pt idx="28">
                  <c:v>1624.8896809253943</c:v>
                </c:pt>
                <c:pt idx="29">
                  <c:v>1685.3703377067</c:v>
                </c:pt>
                <c:pt idx="30">
                  <c:v>1745.8509944880059</c:v>
                </c:pt>
                <c:pt idx="31">
                  <c:v>1806.3316512693118</c:v>
                </c:pt>
                <c:pt idx="32">
                  <c:v>1828.4090381181586</c:v>
                </c:pt>
                <c:pt idx="33">
                  <c:v>1850.4864249670059</c:v>
                </c:pt>
                <c:pt idx="34">
                  <c:v>1872.5638118158529</c:v>
                </c:pt>
                <c:pt idx="35">
                  <c:v>1894.6411986646999</c:v>
                </c:pt>
                <c:pt idx="36">
                  <c:v>1916.7185855135469</c:v>
                </c:pt>
                <c:pt idx="37">
                  <c:v>1938.7959723623942</c:v>
                </c:pt>
                <c:pt idx="38">
                  <c:v>1960.8733592112414</c:v>
                </c:pt>
                <c:pt idx="39">
                  <c:v>1982.9507460600887</c:v>
                </c:pt>
                <c:pt idx="40">
                  <c:v>2005.028132908936</c:v>
                </c:pt>
                <c:pt idx="41">
                  <c:v>2027.1055197577832</c:v>
                </c:pt>
                <c:pt idx="42">
                  <c:v>2049.1829066066298</c:v>
                </c:pt>
                <c:pt idx="43">
                  <c:v>2071.2602934554775</c:v>
                </c:pt>
                <c:pt idx="44">
                  <c:v>2093.3376803043243</c:v>
                </c:pt>
                <c:pt idx="45">
                  <c:v>2115.415067153172</c:v>
                </c:pt>
                <c:pt idx="46">
                  <c:v>2137.4924540020188</c:v>
                </c:pt>
                <c:pt idx="47">
                  <c:v>2142.5250197965997</c:v>
                </c:pt>
                <c:pt idx="48">
                  <c:v>2147.5575855911811</c:v>
                </c:pt>
                <c:pt idx="49">
                  <c:v>2152.5901513857621</c:v>
                </c:pt>
                <c:pt idx="50">
                  <c:v>2157.6227171803434</c:v>
                </c:pt>
                <c:pt idx="51">
                  <c:v>2162.6552829749244</c:v>
                </c:pt>
                <c:pt idx="52">
                  <c:v>2167.6878487695058</c:v>
                </c:pt>
                <c:pt idx="53">
                  <c:v>2172.7204145640867</c:v>
                </c:pt>
                <c:pt idx="54">
                  <c:v>2177.7529803586685</c:v>
                </c:pt>
                <c:pt idx="55">
                  <c:v>2182.7855461532495</c:v>
                </c:pt>
                <c:pt idx="56">
                  <c:v>2187.8181119478304</c:v>
                </c:pt>
                <c:pt idx="57">
                  <c:v>2192.8506777424113</c:v>
                </c:pt>
                <c:pt idx="58">
                  <c:v>2197.8832435369927</c:v>
                </c:pt>
                <c:pt idx="59">
                  <c:v>2202.9158093315737</c:v>
                </c:pt>
                <c:pt idx="60">
                  <c:v>2207.948375126155</c:v>
                </c:pt>
                <c:pt idx="61">
                  <c:v>2212.980940920736</c:v>
                </c:pt>
                <c:pt idx="62">
                  <c:v>2218.0135067153174</c:v>
                </c:pt>
                <c:pt idx="63">
                  <c:v>2223.0460725098983</c:v>
                </c:pt>
                <c:pt idx="64">
                  <c:v>2228.0786383044801</c:v>
                </c:pt>
                <c:pt idx="65">
                  <c:v>2233.1112040990611</c:v>
                </c:pt>
                <c:pt idx="66">
                  <c:v>2238.1437698936425</c:v>
                </c:pt>
                <c:pt idx="67">
                  <c:v>2243.1763356882234</c:v>
                </c:pt>
                <c:pt idx="68">
                  <c:v>2248.2089014828043</c:v>
                </c:pt>
                <c:pt idx="69">
                  <c:v>2253.2414672773853</c:v>
                </c:pt>
                <c:pt idx="70">
                  <c:v>2258.2740330719666</c:v>
                </c:pt>
                <c:pt idx="71">
                  <c:v>2263.3065988665476</c:v>
                </c:pt>
                <c:pt idx="72">
                  <c:v>2268.339164661129</c:v>
                </c:pt>
                <c:pt idx="73">
                  <c:v>2273.3717304557099</c:v>
                </c:pt>
                <c:pt idx="74">
                  <c:v>2278.4042962502913</c:v>
                </c:pt>
                <c:pt idx="75">
                  <c:v>2283.4368620448722</c:v>
                </c:pt>
                <c:pt idx="76">
                  <c:v>2288.4694278394536</c:v>
                </c:pt>
                <c:pt idx="77">
                  <c:v>2293.5019936340345</c:v>
                </c:pt>
                <c:pt idx="78">
                  <c:v>2298.5345594286159</c:v>
                </c:pt>
                <c:pt idx="79">
                  <c:v>2303.5671252231973</c:v>
                </c:pt>
                <c:pt idx="80">
                  <c:v>2308.5996910177782</c:v>
                </c:pt>
                <c:pt idx="81">
                  <c:v>2313.6322568123592</c:v>
                </c:pt>
                <c:pt idx="82">
                  <c:v>2318.6646213123604</c:v>
                </c:pt>
                <c:pt idx="83">
                  <c:v>2323.6969858123616</c:v>
                </c:pt>
                <c:pt idx="84">
                  <c:v>2328.7293503123624</c:v>
                </c:pt>
                <c:pt idx="85">
                  <c:v>2333.7617148123641</c:v>
                </c:pt>
                <c:pt idx="86">
                  <c:v>2338.7940793123653</c:v>
                </c:pt>
              </c:numCache>
            </c:numRef>
          </c:yVal>
          <c:smooth val="0"/>
          <c:extLst>
            <c:ext xmlns:c16="http://schemas.microsoft.com/office/drawing/2014/chart" uri="{C3380CC4-5D6E-409C-BE32-E72D297353CC}">
              <c16:uniqueId val="{00000003-3CA6-41DB-8EEA-28A9888C31C9}"/>
            </c:ext>
          </c:extLst>
        </c:ser>
        <c:ser>
          <c:idx val="3"/>
          <c:order val="3"/>
          <c:tx>
            <c:strRef>
              <c:f>'Damage Curves - Total'!$AB$30</c:f>
              <c:strCache>
                <c:ptCount val="1"/>
                <c:pt idx="0">
                  <c:v>Average</c:v>
                </c:pt>
              </c:strCache>
            </c:strRef>
          </c:tx>
          <c:spPr>
            <a:ln w="22225" cap="rnd">
              <a:solidFill>
                <a:schemeClr val="accent6">
                  <a:lumMod val="60000"/>
                </a:schemeClr>
              </a:solidFill>
              <a:round/>
            </a:ln>
            <a:effectLst/>
          </c:spPr>
          <c:marker>
            <c:symbol val="none"/>
          </c:marker>
          <c:xVal>
            <c:numRef>
              <c:f>'Damage Curves - Total'!$Y$31:$Y$117</c:f>
              <c:numCache>
                <c:formatCode>0.00</c:formatCode>
                <c:ptCount val="87"/>
                <c:pt idx="0">
                  <c:v>-0.3</c:v>
                </c:pt>
                <c:pt idx="1">
                  <c:v>-0.25</c:v>
                </c:pt>
                <c:pt idx="2">
                  <c:v>-0.2</c:v>
                </c:pt>
                <c:pt idx="3">
                  <c:v>-0.15</c:v>
                </c:pt>
                <c:pt idx="4">
                  <c:v>-0.1</c:v>
                </c:pt>
                <c:pt idx="5">
                  <c:v>-0.05</c:v>
                </c:pt>
                <c:pt idx="6">
                  <c:v>0</c:v>
                </c:pt>
                <c:pt idx="7">
                  <c:v>0.05</c:v>
                </c:pt>
                <c:pt idx="8">
                  <c:v>0.1</c:v>
                </c:pt>
                <c:pt idx="9">
                  <c:v>0.15</c:v>
                </c:pt>
                <c:pt idx="10">
                  <c:v>0.2</c:v>
                </c:pt>
                <c:pt idx="11">
                  <c:v>0.25</c:v>
                </c:pt>
                <c:pt idx="12">
                  <c:v>0.3</c:v>
                </c:pt>
                <c:pt idx="13">
                  <c:v>0.35</c:v>
                </c:pt>
                <c:pt idx="14">
                  <c:v>0.4</c:v>
                </c:pt>
                <c:pt idx="15">
                  <c:v>0.45</c:v>
                </c:pt>
                <c:pt idx="16">
                  <c:v>0.5</c:v>
                </c:pt>
                <c:pt idx="17">
                  <c:v>0.55000000000000004</c:v>
                </c:pt>
                <c:pt idx="18">
                  <c:v>0.6</c:v>
                </c:pt>
                <c:pt idx="19">
                  <c:v>0.65</c:v>
                </c:pt>
                <c:pt idx="20">
                  <c:v>0.7</c:v>
                </c:pt>
                <c:pt idx="21">
                  <c:v>0.75</c:v>
                </c:pt>
                <c:pt idx="22">
                  <c:v>0.8</c:v>
                </c:pt>
                <c:pt idx="23">
                  <c:v>0.85</c:v>
                </c:pt>
                <c:pt idx="24">
                  <c:v>0.9</c:v>
                </c:pt>
                <c:pt idx="25">
                  <c:v>0.95</c:v>
                </c:pt>
                <c:pt idx="26">
                  <c:v>1</c:v>
                </c:pt>
                <c:pt idx="27">
                  <c:v>1.05</c:v>
                </c:pt>
                <c:pt idx="28">
                  <c:v>1.1000000000000001</c:v>
                </c:pt>
                <c:pt idx="29">
                  <c:v>1.1499999999999999</c:v>
                </c:pt>
                <c:pt idx="30">
                  <c:v>1.2</c:v>
                </c:pt>
                <c:pt idx="31">
                  <c:v>1.25</c:v>
                </c:pt>
                <c:pt idx="32">
                  <c:v>1.3</c:v>
                </c:pt>
                <c:pt idx="33">
                  <c:v>1.35</c:v>
                </c:pt>
                <c:pt idx="34">
                  <c:v>1.4</c:v>
                </c:pt>
                <c:pt idx="35">
                  <c:v>1.45</c:v>
                </c:pt>
                <c:pt idx="36">
                  <c:v>1.5</c:v>
                </c:pt>
                <c:pt idx="37">
                  <c:v>1.55</c:v>
                </c:pt>
                <c:pt idx="38">
                  <c:v>1.6</c:v>
                </c:pt>
                <c:pt idx="39">
                  <c:v>1.65</c:v>
                </c:pt>
                <c:pt idx="40">
                  <c:v>1.7</c:v>
                </c:pt>
                <c:pt idx="41">
                  <c:v>1.75</c:v>
                </c:pt>
                <c:pt idx="42">
                  <c:v>1.8</c:v>
                </c:pt>
                <c:pt idx="43">
                  <c:v>1.85</c:v>
                </c:pt>
                <c:pt idx="44">
                  <c:v>1.9</c:v>
                </c:pt>
                <c:pt idx="45">
                  <c:v>1.95</c:v>
                </c:pt>
                <c:pt idx="46">
                  <c:v>2</c:v>
                </c:pt>
                <c:pt idx="47">
                  <c:v>2.0499999999999998</c:v>
                </c:pt>
                <c:pt idx="48">
                  <c:v>2.1</c:v>
                </c:pt>
                <c:pt idx="49">
                  <c:v>2.15</c:v>
                </c:pt>
                <c:pt idx="50">
                  <c:v>2.2000000000000002</c:v>
                </c:pt>
                <c:pt idx="51">
                  <c:v>2.25</c:v>
                </c:pt>
                <c:pt idx="52">
                  <c:v>2.2999999999999998</c:v>
                </c:pt>
                <c:pt idx="53">
                  <c:v>2.35</c:v>
                </c:pt>
                <c:pt idx="54">
                  <c:v>2.4</c:v>
                </c:pt>
                <c:pt idx="55">
                  <c:v>2.4500000000000002</c:v>
                </c:pt>
                <c:pt idx="56">
                  <c:v>2.5</c:v>
                </c:pt>
                <c:pt idx="57">
                  <c:v>2.5499999999999998</c:v>
                </c:pt>
                <c:pt idx="58">
                  <c:v>2.6</c:v>
                </c:pt>
                <c:pt idx="59">
                  <c:v>2.65</c:v>
                </c:pt>
                <c:pt idx="60">
                  <c:v>2.7</c:v>
                </c:pt>
                <c:pt idx="61">
                  <c:v>2.75</c:v>
                </c:pt>
                <c:pt idx="62">
                  <c:v>2.8</c:v>
                </c:pt>
                <c:pt idx="63">
                  <c:v>2.85</c:v>
                </c:pt>
                <c:pt idx="64">
                  <c:v>2.9</c:v>
                </c:pt>
                <c:pt idx="65">
                  <c:v>2.95</c:v>
                </c:pt>
                <c:pt idx="66">
                  <c:v>3</c:v>
                </c:pt>
                <c:pt idx="67">
                  <c:v>3.05</c:v>
                </c:pt>
                <c:pt idx="68">
                  <c:v>3.1</c:v>
                </c:pt>
                <c:pt idx="69">
                  <c:v>3.15</c:v>
                </c:pt>
                <c:pt idx="70">
                  <c:v>3.2</c:v>
                </c:pt>
                <c:pt idx="71">
                  <c:v>3.25</c:v>
                </c:pt>
                <c:pt idx="72">
                  <c:v>3.3</c:v>
                </c:pt>
                <c:pt idx="73">
                  <c:v>3.35</c:v>
                </c:pt>
                <c:pt idx="74">
                  <c:v>3.4</c:v>
                </c:pt>
                <c:pt idx="75">
                  <c:v>3.45</c:v>
                </c:pt>
                <c:pt idx="76">
                  <c:v>3.5</c:v>
                </c:pt>
                <c:pt idx="77">
                  <c:v>3.55</c:v>
                </c:pt>
                <c:pt idx="78">
                  <c:v>3.6</c:v>
                </c:pt>
                <c:pt idx="79">
                  <c:v>3.65</c:v>
                </c:pt>
                <c:pt idx="80">
                  <c:v>3.7</c:v>
                </c:pt>
                <c:pt idx="81">
                  <c:v>3.75</c:v>
                </c:pt>
                <c:pt idx="82">
                  <c:v>3.8</c:v>
                </c:pt>
                <c:pt idx="83">
                  <c:v>3.85</c:v>
                </c:pt>
                <c:pt idx="84">
                  <c:v>3.9</c:v>
                </c:pt>
                <c:pt idx="85">
                  <c:v>3.95</c:v>
                </c:pt>
                <c:pt idx="86">
                  <c:v>4</c:v>
                </c:pt>
              </c:numCache>
            </c:numRef>
          </c:xVal>
          <c:yVal>
            <c:numRef>
              <c:f>'Damage Curves - Total'!$AB$31:$AB$117</c:f>
              <c:numCache>
                <c:formatCode>"$"#,##0</c:formatCode>
                <c:ptCount val="87"/>
                <c:pt idx="0">
                  <c:v>0</c:v>
                </c:pt>
                <c:pt idx="1">
                  <c:v>0</c:v>
                </c:pt>
                <c:pt idx="2">
                  <c:v>0</c:v>
                </c:pt>
                <c:pt idx="3">
                  <c:v>0</c:v>
                </c:pt>
                <c:pt idx="4">
                  <c:v>0</c:v>
                </c:pt>
                <c:pt idx="5">
                  <c:v>0</c:v>
                </c:pt>
                <c:pt idx="6">
                  <c:v>0</c:v>
                </c:pt>
                <c:pt idx="7">
                  <c:v>94.370593897989295</c:v>
                </c:pt>
                <c:pt idx="8">
                  <c:v>188.74118779597859</c:v>
                </c:pt>
                <c:pt idx="9">
                  <c:v>283.11178169396794</c:v>
                </c:pt>
                <c:pt idx="10">
                  <c:v>377.48237559195718</c:v>
                </c:pt>
                <c:pt idx="11">
                  <c:v>471.85296948994653</c:v>
                </c:pt>
                <c:pt idx="12">
                  <c:v>511.44448412390341</c:v>
                </c:pt>
                <c:pt idx="13">
                  <c:v>551.03599875786051</c:v>
                </c:pt>
                <c:pt idx="14">
                  <c:v>590.6275133918175</c:v>
                </c:pt>
                <c:pt idx="15">
                  <c:v>630.21902802577449</c:v>
                </c:pt>
                <c:pt idx="16">
                  <c:v>669.81054265973148</c:v>
                </c:pt>
                <c:pt idx="17">
                  <c:v>709.40205729368859</c:v>
                </c:pt>
                <c:pt idx="18">
                  <c:v>748.99357192764535</c:v>
                </c:pt>
                <c:pt idx="19">
                  <c:v>788.58508656160234</c:v>
                </c:pt>
                <c:pt idx="20">
                  <c:v>828.17660119555944</c:v>
                </c:pt>
                <c:pt idx="21">
                  <c:v>867.76811582951643</c:v>
                </c:pt>
                <c:pt idx="22">
                  <c:v>911.44859017157069</c:v>
                </c:pt>
                <c:pt idx="23">
                  <c:v>955.12906451362494</c:v>
                </c:pt>
                <c:pt idx="24">
                  <c:v>998.80953885567919</c:v>
                </c:pt>
                <c:pt idx="25">
                  <c:v>1042.4900131977333</c:v>
                </c:pt>
                <c:pt idx="26">
                  <c:v>1086.1704875397875</c:v>
                </c:pt>
                <c:pt idx="27">
                  <c:v>1129.8509618818416</c:v>
                </c:pt>
                <c:pt idx="28">
                  <c:v>1173.531436223896</c:v>
                </c:pt>
                <c:pt idx="29">
                  <c:v>1217.2119105659499</c:v>
                </c:pt>
                <c:pt idx="30">
                  <c:v>1260.8923849080043</c:v>
                </c:pt>
                <c:pt idx="31">
                  <c:v>1304.5728592500584</c:v>
                </c:pt>
                <c:pt idx="32">
                  <c:v>1320.5176386408923</c:v>
                </c:pt>
                <c:pt idx="33">
                  <c:v>1336.4624180317264</c:v>
                </c:pt>
                <c:pt idx="34">
                  <c:v>1352.4071974225603</c:v>
                </c:pt>
                <c:pt idx="35">
                  <c:v>1368.3519768133945</c:v>
                </c:pt>
                <c:pt idx="36">
                  <c:v>1384.2967562042284</c:v>
                </c:pt>
                <c:pt idx="37">
                  <c:v>1400.2415355950625</c:v>
                </c:pt>
                <c:pt idx="38">
                  <c:v>1416.1863149858966</c:v>
                </c:pt>
                <c:pt idx="39">
                  <c:v>1432.1310943767307</c:v>
                </c:pt>
                <c:pt idx="40">
                  <c:v>1448.0758737675649</c:v>
                </c:pt>
                <c:pt idx="41">
                  <c:v>1464.020653158399</c:v>
                </c:pt>
                <c:pt idx="42">
                  <c:v>1479.9654325492329</c:v>
                </c:pt>
                <c:pt idx="43">
                  <c:v>1495.9102119400668</c:v>
                </c:pt>
                <c:pt idx="44">
                  <c:v>1511.8549913309012</c:v>
                </c:pt>
                <c:pt idx="45">
                  <c:v>1527.7997707217351</c:v>
                </c:pt>
                <c:pt idx="46">
                  <c:v>1543.7445501125694</c:v>
                </c:pt>
                <c:pt idx="47">
                  <c:v>1547.3791809642112</c:v>
                </c:pt>
                <c:pt idx="48">
                  <c:v>1551.0138118158529</c:v>
                </c:pt>
                <c:pt idx="49">
                  <c:v>1554.6484426674949</c:v>
                </c:pt>
                <c:pt idx="50">
                  <c:v>1558.2830735191369</c:v>
                </c:pt>
                <c:pt idx="51">
                  <c:v>1561.9177043707789</c:v>
                </c:pt>
                <c:pt idx="52">
                  <c:v>1565.5523352224207</c:v>
                </c:pt>
                <c:pt idx="53">
                  <c:v>1569.1869660740626</c:v>
                </c:pt>
                <c:pt idx="54">
                  <c:v>1572.8215969257049</c:v>
                </c:pt>
                <c:pt idx="55">
                  <c:v>1576.4562277773468</c:v>
                </c:pt>
                <c:pt idx="56">
                  <c:v>1580.0908586289886</c:v>
                </c:pt>
                <c:pt idx="57">
                  <c:v>1583.7254894806306</c:v>
                </c:pt>
                <c:pt idx="58">
                  <c:v>1587.3601203322728</c:v>
                </c:pt>
                <c:pt idx="59">
                  <c:v>1590.9947511839146</c:v>
                </c:pt>
                <c:pt idx="60">
                  <c:v>1594.6293820355563</c:v>
                </c:pt>
                <c:pt idx="61">
                  <c:v>1598.2640128871983</c:v>
                </c:pt>
                <c:pt idx="62">
                  <c:v>1601.8986437388403</c:v>
                </c:pt>
                <c:pt idx="63">
                  <c:v>1605.5332745904823</c:v>
                </c:pt>
                <c:pt idx="64">
                  <c:v>1609.1679054421243</c:v>
                </c:pt>
                <c:pt idx="65">
                  <c:v>1612.8025362937663</c:v>
                </c:pt>
                <c:pt idx="66">
                  <c:v>1616.4371671454082</c:v>
                </c:pt>
                <c:pt idx="67">
                  <c:v>1620.0717979970502</c:v>
                </c:pt>
                <c:pt idx="68">
                  <c:v>1623.706428848692</c:v>
                </c:pt>
                <c:pt idx="69">
                  <c:v>1627.341059700334</c:v>
                </c:pt>
                <c:pt idx="70">
                  <c:v>1630.9756905519762</c:v>
                </c:pt>
                <c:pt idx="71">
                  <c:v>1634.6103214036179</c:v>
                </c:pt>
                <c:pt idx="72">
                  <c:v>1638.2449522552597</c:v>
                </c:pt>
                <c:pt idx="73">
                  <c:v>1641.8795831069017</c:v>
                </c:pt>
                <c:pt idx="74">
                  <c:v>1645.5142139585437</c:v>
                </c:pt>
                <c:pt idx="75">
                  <c:v>1649.1488448101857</c:v>
                </c:pt>
                <c:pt idx="76">
                  <c:v>1652.7834756618274</c:v>
                </c:pt>
                <c:pt idx="77">
                  <c:v>1656.4181065134694</c:v>
                </c:pt>
                <c:pt idx="78">
                  <c:v>1660.0527373651114</c:v>
                </c:pt>
                <c:pt idx="79">
                  <c:v>1663.6873682167536</c:v>
                </c:pt>
                <c:pt idx="80">
                  <c:v>1667.3219990683954</c:v>
                </c:pt>
                <c:pt idx="81">
                  <c:v>1670.9566299200374</c:v>
                </c:pt>
                <c:pt idx="82">
                  <c:v>1674.5911153922605</c:v>
                </c:pt>
                <c:pt idx="83">
                  <c:v>1678.2256008644836</c:v>
                </c:pt>
                <c:pt idx="84">
                  <c:v>1681.8600863367064</c:v>
                </c:pt>
                <c:pt idx="85">
                  <c:v>1685.4945718089298</c:v>
                </c:pt>
                <c:pt idx="86">
                  <c:v>1689.1290572811529</c:v>
                </c:pt>
              </c:numCache>
            </c:numRef>
          </c:yVal>
          <c:smooth val="0"/>
          <c:extLst>
            <c:ext xmlns:c16="http://schemas.microsoft.com/office/drawing/2014/chart" uri="{C3380CC4-5D6E-409C-BE32-E72D297353CC}">
              <c16:uniqueId val="{00000002-3CA6-41DB-8EEA-28A9888C31C9}"/>
            </c:ext>
          </c:extLst>
        </c:ser>
        <c:dLbls>
          <c:showLegendKey val="0"/>
          <c:showVal val="0"/>
          <c:showCatName val="0"/>
          <c:showSerName val="0"/>
          <c:showPercent val="0"/>
          <c:showBubbleSize val="0"/>
        </c:dLbls>
        <c:axId val="1750201631"/>
        <c:axId val="1750199551"/>
      </c:scatterChart>
      <c:valAx>
        <c:axId val="1750201631"/>
        <c:scaling>
          <c:orientation val="minMax"/>
          <c:max val="4"/>
          <c:min val="0"/>
        </c:scaling>
        <c:delete val="0"/>
        <c:axPos val="b"/>
        <c:majorGridlines>
          <c:spPr>
            <a:ln w="9525" cap="flat" cmpd="sng" algn="ctr">
              <a:solidFill>
                <a:schemeClr val="tx1">
                  <a:lumMod val="15000"/>
                  <a:lumOff val="85000"/>
                </a:schemeClr>
              </a:solidFill>
              <a:round/>
            </a:ln>
            <a:effectLst/>
          </c:spPr>
        </c:majorGridlines>
        <c:minorGridlines>
          <c:spPr>
            <a:ln>
              <a:solidFill>
                <a:schemeClr val="tx1">
                  <a:lumMod val="5000"/>
                  <a:lumOff val="95000"/>
                </a:schemeClr>
              </a:solidFill>
            </a:ln>
            <a:effectLst/>
          </c:spPr>
        </c:minorGridlines>
        <c:title>
          <c:tx>
            <c:rich>
              <a:bodyPr rot="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r>
                  <a:rPr lang="en-US"/>
                  <a:t>Depth above Floor Level (m)</a:t>
                </a:r>
              </a:p>
            </c:rich>
          </c:tx>
          <c:overlay val="0"/>
          <c:spPr>
            <a:noFill/>
            <a:ln>
              <a:noFill/>
            </a:ln>
            <a:effectLst/>
          </c:spPr>
          <c:txPr>
            <a:bodyPr rot="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120" normalizeH="0" baseline="0">
                <a:solidFill>
                  <a:schemeClr val="tx1">
                    <a:lumMod val="65000"/>
                    <a:lumOff val="35000"/>
                  </a:schemeClr>
                </a:solidFill>
                <a:latin typeface="+mn-lt"/>
                <a:ea typeface="+mn-ea"/>
                <a:cs typeface="+mn-cs"/>
              </a:defRPr>
            </a:pPr>
            <a:endParaRPr lang="en-US"/>
          </a:p>
        </c:txPr>
        <c:crossAx val="1750199551"/>
        <c:crosses val="autoZero"/>
        <c:crossBetween val="midCat"/>
      </c:valAx>
      <c:valAx>
        <c:axId val="17501995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r>
                  <a:rPr lang="en-AU"/>
                  <a:t>Total Damages ($/m</a:t>
                </a:r>
                <a:r>
                  <a:rPr lang="en-AU" baseline="30000"/>
                  <a:t>2</a:t>
                </a:r>
                <a:r>
                  <a:rPr lang="en-AU"/>
                  <a:t>)</a:t>
                </a:r>
              </a:p>
            </c:rich>
          </c:tx>
          <c:overlay val="0"/>
          <c:spPr>
            <a:noFill/>
            <a:ln>
              <a:noFill/>
            </a:ln>
            <a:effectLst/>
          </c:spPr>
          <c:txPr>
            <a:bodyPr rot="-540000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en-US"/>
          </a:p>
        </c:txPr>
        <c:crossAx val="1750201631"/>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cap="none" baseline="0">
          <a:latin typeface="+mn-lt"/>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'AAD Calculation'!$K$36</c:f>
          <c:strCache>
            <c:ptCount val="1"/>
            <c:pt idx="0">
              <c:v>Total Damages</c:v>
            </c:pt>
          </c:strCache>
        </c:strRef>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j-lt"/>
              <a:ea typeface="+mj-ea"/>
              <a:cs typeface="+mj-cs"/>
            </a:defRPr>
          </a:pPr>
          <a:endParaRPr lang="en-US"/>
        </a:p>
      </c:txPr>
    </c:title>
    <c:autoTitleDeleted val="0"/>
    <c:plotArea>
      <c:layout/>
      <c:areaChart>
        <c:grouping val="standard"/>
        <c:varyColors val="0"/>
        <c:ser>
          <c:idx val="1"/>
          <c:order val="0"/>
          <c:tx>
            <c:v>Annual Average Damage</c:v>
          </c:tx>
          <c:spPr>
            <a:gradFill flip="none" rotWithShape="1">
              <a:gsLst>
                <a:gs pos="0">
                  <a:schemeClr val="accent1">
                    <a:lumMod val="40000"/>
                    <a:lumOff val="60000"/>
                  </a:schemeClr>
                </a:gs>
                <a:gs pos="50000">
                  <a:schemeClr val="accent1">
                    <a:alpha val="90000"/>
                    <a:lumMod val="60000"/>
                    <a:lumOff val="40000"/>
                  </a:schemeClr>
                </a:gs>
                <a:gs pos="100000">
                  <a:schemeClr val="accent1">
                    <a:lumMod val="75000"/>
                  </a:schemeClr>
                </a:gs>
              </a:gsLst>
              <a:lin ang="1800000" scaled="0"/>
              <a:tileRect/>
            </a:gradFill>
            <a:ln w="25400">
              <a:noFill/>
            </a:ln>
            <a:effectLst/>
          </c:spPr>
          <c:cat>
            <c:numRef>
              <c:f>'AAD Calculation'!$B$6:$B$15</c:f>
              <c:numCache>
                <c:formatCode>0.0%</c:formatCode>
                <c:ptCount val="10"/>
                <c:pt idx="0" formatCode="0.000%">
                  <c:v>1.0000000000000001E-5</c:v>
                </c:pt>
                <c:pt idx="1">
                  <c:v>2E-3</c:v>
                </c:pt>
                <c:pt idx="2">
                  <c:v>5.0000000000000001E-3</c:v>
                </c:pt>
                <c:pt idx="3" formatCode="0%">
                  <c:v>0.01</c:v>
                </c:pt>
                <c:pt idx="4" formatCode="0%">
                  <c:v>0.02</c:v>
                </c:pt>
                <c:pt idx="5" formatCode="0%">
                  <c:v>0.05</c:v>
                </c:pt>
                <c:pt idx="6" formatCode="0%">
                  <c:v>0.1</c:v>
                </c:pt>
                <c:pt idx="7" formatCode="0%">
                  <c:v>0.2</c:v>
                </c:pt>
                <c:pt idx="8" formatCode="0%">
                  <c:v>0.5</c:v>
                </c:pt>
                <c:pt idx="9" formatCode="0%">
                  <c:v>1</c:v>
                </c:pt>
              </c:numCache>
            </c:numRef>
          </c:cat>
          <c:val>
            <c:numRef>
              <c:f>'AAD Calculation'!$C$6:$C$15</c:f>
              <c:numCache>
                <c:formatCode>"$"#,##0</c:formatCode>
                <c:ptCount val="10"/>
                <c:pt idx="0">
                  <c:v>29350888.96249456</c:v>
                </c:pt>
                <c:pt idx="1">
                  <c:v>15197612.562801197</c:v>
                </c:pt>
                <c:pt idx="2">
                  <c:v>12448710.670398574</c:v>
                </c:pt>
                <c:pt idx="3">
                  <c:v>9058636.2313871197</c:v>
                </c:pt>
                <c:pt idx="4">
                  <c:v>5629043.2522814553</c:v>
                </c:pt>
                <c:pt idx="5">
                  <c:v>2833713.5874475264</c:v>
                </c:pt>
                <c:pt idx="6">
                  <c:v>684166.20573042845</c:v>
                </c:pt>
                <c:pt idx="7">
                  <c:v>0</c:v>
                </c:pt>
                <c:pt idx="8">
                  <c:v>0</c:v>
                </c:pt>
                <c:pt idx="9">
                  <c:v>0</c:v>
                </c:pt>
              </c:numCache>
            </c:numRef>
          </c:val>
          <c:extLst>
            <c:ext xmlns:c16="http://schemas.microsoft.com/office/drawing/2014/chart" uri="{C3380CC4-5D6E-409C-BE32-E72D297353CC}">
              <c16:uniqueId val="{00000000-30C4-4379-A8F0-08A42EDAA665}"/>
            </c:ext>
          </c:extLst>
        </c:ser>
        <c:dLbls>
          <c:showLegendKey val="0"/>
          <c:showVal val="0"/>
          <c:showCatName val="0"/>
          <c:showSerName val="0"/>
          <c:showPercent val="0"/>
          <c:showBubbleSize val="0"/>
        </c:dLbls>
        <c:dropLines>
          <c:spPr>
            <a:ln w="9525" cap="flat" cmpd="sng" algn="ctr">
              <a:solidFill>
                <a:schemeClr val="lt1">
                  <a:alpha val="40000"/>
                </a:schemeClr>
              </a:solidFill>
              <a:round/>
            </a:ln>
            <a:effectLst/>
          </c:spPr>
        </c:dropLines>
        <c:axId val="1072494351"/>
        <c:axId val="1162608543"/>
      </c:areaChart>
      <c:scatterChart>
        <c:scatterStyle val="lineMarker"/>
        <c:varyColors val="0"/>
        <c:ser>
          <c:idx val="0"/>
          <c:order val="1"/>
          <c:tx>
            <c:strRef>
              <c:f>'AAD Calculation'!$D$5</c:f>
              <c:strCache>
                <c:ptCount val="1"/>
                <c:pt idx="0">
                  <c:v>Contribution to AAD</c:v>
                </c:pt>
              </c:strCache>
            </c:strRef>
          </c:tx>
          <c:spPr>
            <a:ln w="28575" cap="rnd">
              <a:gradFill flip="none" rotWithShape="1">
                <a:gsLst>
                  <a:gs pos="0">
                    <a:schemeClr val="accent2">
                      <a:lumMod val="20000"/>
                      <a:lumOff val="80000"/>
                    </a:schemeClr>
                  </a:gs>
                  <a:gs pos="70000">
                    <a:schemeClr val="accent2">
                      <a:lumMod val="75000"/>
                    </a:schemeClr>
                  </a:gs>
                </a:gsLst>
                <a:lin ang="16200000" scaled="1"/>
                <a:tileRect/>
              </a:gradFill>
              <a:prstDash val="lgDash"/>
              <a:round/>
            </a:ln>
            <a:effectLst/>
          </c:spPr>
          <c:marker>
            <c:symbol val="none"/>
          </c:marker>
          <c:yVal>
            <c:numRef>
              <c:f>'AAD Calculation'!$D$6:$D$15</c:f>
              <c:numCache>
                <c:formatCode>"$"#,##0</c:formatCode>
                <c:ptCount val="10"/>
                <c:pt idx="0">
                  <c:v>44325.759017669276</c:v>
                </c:pt>
                <c:pt idx="1">
                  <c:v>41469.484849799657</c:v>
                </c:pt>
                <c:pt idx="2">
                  <c:v>53768.367254464232</c:v>
                </c:pt>
                <c:pt idx="3">
                  <c:v>74289.522099963724</c:v>
                </c:pt>
                <c:pt idx="4">
                  <c:v>130167.54933496032</c:v>
                </c:pt>
                <c:pt idx="5">
                  <c:v>94249.086626361561</c:v>
                </c:pt>
                <c:pt idx="6">
                  <c:v>36577.881362257067</c:v>
                </c:pt>
                <c:pt idx="7">
                  <c:v>0</c:v>
                </c:pt>
                <c:pt idx="8">
                  <c:v>0</c:v>
                </c:pt>
                <c:pt idx="9">
                  <c:v>0</c:v>
                </c:pt>
              </c:numCache>
            </c:numRef>
          </c:yVal>
          <c:smooth val="0"/>
          <c:extLst>
            <c:ext xmlns:c16="http://schemas.microsoft.com/office/drawing/2014/chart" uri="{C3380CC4-5D6E-409C-BE32-E72D297353CC}">
              <c16:uniqueId val="{00000001-30C4-4379-A8F0-08A42EDAA665}"/>
            </c:ext>
          </c:extLst>
        </c:ser>
        <c:dLbls>
          <c:showLegendKey val="0"/>
          <c:showVal val="0"/>
          <c:showCatName val="0"/>
          <c:showSerName val="0"/>
          <c:showPercent val="0"/>
          <c:showBubbleSize val="0"/>
        </c:dLbls>
        <c:axId val="1243195567"/>
        <c:axId val="1200139135"/>
      </c:scatterChart>
      <c:catAx>
        <c:axId val="1072494351"/>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r>
                  <a:rPr lang="en-US">
                    <a:solidFill>
                      <a:schemeClr val="tx2"/>
                    </a:solidFill>
                  </a:rPr>
                  <a:t>AEP</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title>
        <c:numFmt formatCode="0.000%" sourceLinked="1"/>
        <c:majorTickMark val="none"/>
        <c:minorTickMark val="none"/>
        <c:tickLblPos val="nextTo"/>
        <c:spPr>
          <a:noFill/>
          <a:ln w="9575" cap="flat" cmpd="sng" algn="ctr">
            <a:solidFill>
              <a:schemeClr val="lt1">
                <a:lumMod val="75000"/>
              </a:schemeClr>
            </a:solidFill>
            <a:round/>
            <a:headEnd type="none" w="sm" len="sm"/>
            <a:tailEnd type="none" w="sm" len="sm"/>
          </a:ln>
          <a:effectLst/>
        </c:spPr>
        <c:txPr>
          <a:bodyPr rot="-60000000" spcFirstLastPara="1" vertOverflow="ellipsis" vert="horz" wrap="square" anchor="ctr" anchorCtr="1"/>
          <a:lstStyle/>
          <a:p>
            <a:pPr>
              <a:defRPr sz="900" b="1" i="0" u="none" strike="noStrike" kern="1200" cap="all" baseline="0">
                <a:solidFill>
                  <a:schemeClr val="tx2"/>
                </a:solidFill>
                <a:latin typeface="+mn-lt"/>
                <a:ea typeface="+mn-ea"/>
                <a:cs typeface="+mn-cs"/>
              </a:defRPr>
            </a:pPr>
            <a:endParaRPr lang="en-US"/>
          </a:p>
        </c:txPr>
        <c:crossAx val="1162608543"/>
        <c:crosses val="autoZero"/>
        <c:auto val="1"/>
        <c:lblAlgn val="ctr"/>
        <c:lblOffset val="100"/>
        <c:noMultiLvlLbl val="0"/>
      </c:catAx>
      <c:valAx>
        <c:axId val="1162608543"/>
        <c:scaling>
          <c:orientation val="minMax"/>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a:effectLst/>
          </c:spPr>
        </c:majorGridlines>
        <c:title>
          <c:tx>
            <c:strRef>
              <c:f>'AAD Calculation'!$C$5</c:f>
              <c:strCache>
                <c:ptCount val="1"/>
                <c:pt idx="0">
                  <c:v>AEP Event Damage</c:v>
                </c:pt>
              </c:strCache>
            </c:strRef>
          </c:tx>
          <c:overlay val="0"/>
          <c:spPr>
            <a:noFill/>
            <a:ln>
              <a:noFill/>
            </a:ln>
            <a:effectLst/>
          </c:spPr>
          <c:txPr>
            <a:bodyPr rot="-54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title>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072494351"/>
        <c:crosses val="autoZero"/>
        <c:crossBetween val="midCat"/>
      </c:valAx>
      <c:valAx>
        <c:axId val="1200139135"/>
        <c:scaling>
          <c:orientation val="minMax"/>
          <c:min val="0"/>
        </c:scaling>
        <c:delete val="0"/>
        <c:axPos val="r"/>
        <c:title>
          <c:tx>
            <c:strRef>
              <c:f>'AAD Calculation'!$D$5</c:f>
              <c:strCache>
                <c:ptCount val="1"/>
                <c:pt idx="0">
                  <c:v>Contribution to AAD</c:v>
                </c:pt>
              </c:strCache>
            </c:strRef>
          </c:tx>
          <c:overlay val="0"/>
          <c:spPr>
            <a:noFill/>
            <a:ln>
              <a:noFill/>
            </a:ln>
            <a:effectLst/>
          </c:spPr>
          <c:txPr>
            <a:bodyPr rot="-540000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n-US"/>
            </a:p>
          </c:txPr>
        </c:title>
        <c:numFmt formatCode="_(&quot;$&quot;* #,##0_);_(&quot;$&quot;* \(#,##0\);_(&quot;$&quot;* &quot;-&quot;_);_(@_)"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n-US"/>
          </a:p>
        </c:txPr>
        <c:crossAx val="1243195567"/>
        <c:crosses val="max"/>
        <c:crossBetween val="midCat"/>
      </c:valAx>
      <c:valAx>
        <c:axId val="1243195567"/>
        <c:scaling>
          <c:orientation val="minMax"/>
        </c:scaling>
        <c:delete val="1"/>
        <c:axPos val="b"/>
        <c:majorTickMark val="out"/>
        <c:minorTickMark val="none"/>
        <c:tickLblPos val="nextTo"/>
        <c:crossAx val="120013913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6350" cap="flat" cmpd="sng" algn="ctr">
      <a:solidFill>
        <a:schemeClr val="tx1"/>
      </a:solid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'AAD Calculation'!$AF$36</c:f>
          <c:strCache>
            <c:ptCount val="1"/>
            <c:pt idx="0">
              <c:v>Structural Damages</c:v>
            </c:pt>
          </c:strCache>
        </c:strRef>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j-lt"/>
              <a:ea typeface="+mj-ea"/>
              <a:cs typeface="+mj-cs"/>
            </a:defRPr>
          </a:pPr>
          <a:endParaRPr lang="en-US"/>
        </a:p>
      </c:txPr>
    </c:title>
    <c:autoTitleDeleted val="0"/>
    <c:plotArea>
      <c:layout/>
      <c:areaChart>
        <c:grouping val="standard"/>
        <c:varyColors val="0"/>
        <c:ser>
          <c:idx val="1"/>
          <c:order val="0"/>
          <c:tx>
            <c:v>Annual Average Damage</c:v>
          </c:tx>
          <c:spPr>
            <a:gradFill flip="none" rotWithShape="1">
              <a:gsLst>
                <a:gs pos="0">
                  <a:schemeClr val="accent1">
                    <a:lumMod val="40000"/>
                    <a:lumOff val="60000"/>
                  </a:schemeClr>
                </a:gs>
                <a:gs pos="50000">
                  <a:schemeClr val="accent1">
                    <a:alpha val="90000"/>
                    <a:lumMod val="60000"/>
                    <a:lumOff val="40000"/>
                  </a:schemeClr>
                </a:gs>
                <a:gs pos="100000">
                  <a:schemeClr val="accent1">
                    <a:lumMod val="75000"/>
                  </a:schemeClr>
                </a:gs>
              </a:gsLst>
              <a:lin ang="1800000" scaled="0"/>
              <a:tileRect/>
            </a:gradFill>
            <a:ln w="25400">
              <a:noFill/>
            </a:ln>
            <a:effectLst/>
          </c:spPr>
          <c:cat>
            <c:numRef>
              <c:f>'AAD Calculation'!$W$6:$W$15</c:f>
              <c:numCache>
                <c:formatCode>0.0%</c:formatCode>
                <c:ptCount val="10"/>
                <c:pt idx="0" formatCode="0.000%">
                  <c:v>1.0000000000000001E-5</c:v>
                </c:pt>
                <c:pt idx="1">
                  <c:v>2E-3</c:v>
                </c:pt>
                <c:pt idx="2">
                  <c:v>5.0000000000000001E-3</c:v>
                </c:pt>
                <c:pt idx="3" formatCode="0%">
                  <c:v>0.01</c:v>
                </c:pt>
                <c:pt idx="4" formatCode="0%">
                  <c:v>0.02</c:v>
                </c:pt>
                <c:pt idx="5" formatCode="0%">
                  <c:v>0.05</c:v>
                </c:pt>
                <c:pt idx="6" formatCode="0%">
                  <c:v>0.1</c:v>
                </c:pt>
                <c:pt idx="7" formatCode="0%">
                  <c:v>0.2</c:v>
                </c:pt>
                <c:pt idx="8" formatCode="0%">
                  <c:v>0.5</c:v>
                </c:pt>
                <c:pt idx="9" formatCode="0%">
                  <c:v>1</c:v>
                </c:pt>
              </c:numCache>
            </c:numRef>
          </c:cat>
          <c:val>
            <c:numRef>
              <c:f>'AAD Calculation'!$X$6:$X$15</c:f>
              <c:numCache>
                <c:formatCode>"$"#,##0</c:formatCode>
                <c:ptCount val="10"/>
                <c:pt idx="0">
                  <c:v>18472151.351965293</c:v>
                </c:pt>
                <c:pt idx="1">
                  <c:v>9021883.8121441137</c:v>
                </c:pt>
                <c:pt idx="2">
                  <c:v>7329963.9632234629</c:v>
                </c:pt>
                <c:pt idx="3">
                  <c:v>5115954.6597640775</c:v>
                </c:pt>
                <c:pt idx="4">
                  <c:v>3163800.1653450415</c:v>
                </c:pt>
                <c:pt idx="5">
                  <c:v>1528960.0221178806</c:v>
                </c:pt>
                <c:pt idx="6">
                  <c:v>365705.27856166585</c:v>
                </c:pt>
                <c:pt idx="7">
                  <c:v>0</c:v>
                </c:pt>
                <c:pt idx="8">
                  <c:v>0</c:v>
                </c:pt>
                <c:pt idx="9">
                  <c:v>0</c:v>
                </c:pt>
              </c:numCache>
            </c:numRef>
          </c:val>
          <c:extLst>
            <c:ext xmlns:c16="http://schemas.microsoft.com/office/drawing/2014/chart" uri="{C3380CC4-5D6E-409C-BE32-E72D297353CC}">
              <c16:uniqueId val="{00000000-9276-4332-906F-17CCCDE777C4}"/>
            </c:ext>
          </c:extLst>
        </c:ser>
        <c:dLbls>
          <c:showLegendKey val="0"/>
          <c:showVal val="0"/>
          <c:showCatName val="0"/>
          <c:showSerName val="0"/>
          <c:showPercent val="0"/>
          <c:showBubbleSize val="0"/>
        </c:dLbls>
        <c:dropLines>
          <c:spPr>
            <a:ln w="9525" cap="flat" cmpd="sng" algn="ctr">
              <a:solidFill>
                <a:schemeClr val="lt1">
                  <a:alpha val="40000"/>
                </a:schemeClr>
              </a:solidFill>
              <a:round/>
            </a:ln>
            <a:effectLst/>
          </c:spPr>
        </c:dropLines>
        <c:axId val="1072494351"/>
        <c:axId val="1162608543"/>
      </c:areaChart>
      <c:scatterChart>
        <c:scatterStyle val="lineMarker"/>
        <c:varyColors val="0"/>
        <c:ser>
          <c:idx val="0"/>
          <c:order val="1"/>
          <c:tx>
            <c:strRef>
              <c:f>'AAD Calculation'!$Y$5</c:f>
              <c:strCache>
                <c:ptCount val="1"/>
                <c:pt idx="0">
                  <c:v>Contribution to AAD</c:v>
                </c:pt>
              </c:strCache>
            </c:strRef>
          </c:tx>
          <c:spPr>
            <a:ln w="28575" cap="rnd">
              <a:gradFill flip="none" rotWithShape="1">
                <a:gsLst>
                  <a:gs pos="0">
                    <a:schemeClr val="accent2">
                      <a:lumMod val="20000"/>
                      <a:lumOff val="80000"/>
                    </a:schemeClr>
                  </a:gs>
                  <a:gs pos="70000">
                    <a:schemeClr val="accent2">
                      <a:lumMod val="75000"/>
                    </a:schemeClr>
                  </a:gs>
                </a:gsLst>
                <a:lin ang="16200000" scaled="1"/>
                <a:tileRect/>
              </a:gradFill>
              <a:prstDash val="lgDash"/>
              <a:round/>
            </a:ln>
            <a:effectLst/>
          </c:spPr>
          <c:marker>
            <c:symbol val="none"/>
          </c:marker>
          <c:yVal>
            <c:numRef>
              <c:f>'AAD Calculation'!$Y$6:$Y$15</c:f>
              <c:numCache>
                <c:formatCode>"$"#,##0</c:formatCode>
                <c:ptCount val="10"/>
                <c:pt idx="0">
                  <c:v>27356.564988288861</c:v>
                </c:pt>
                <c:pt idx="1">
                  <c:v>24527.771663051364</c:v>
                </c:pt>
                <c:pt idx="2">
                  <c:v>31114.796557468853</c:v>
                </c:pt>
                <c:pt idx="3">
                  <c:v>41398.774125545591</c:v>
                </c:pt>
                <c:pt idx="4">
                  <c:v>70391.402811943844</c:v>
                </c:pt>
                <c:pt idx="5">
                  <c:v>47366.63251698867</c:v>
                </c:pt>
                <c:pt idx="6">
                  <c:v>18285.263928083292</c:v>
                </c:pt>
                <c:pt idx="7">
                  <c:v>0</c:v>
                </c:pt>
                <c:pt idx="8">
                  <c:v>0</c:v>
                </c:pt>
                <c:pt idx="9">
                  <c:v>0</c:v>
                </c:pt>
              </c:numCache>
            </c:numRef>
          </c:yVal>
          <c:smooth val="0"/>
          <c:extLst>
            <c:ext xmlns:c16="http://schemas.microsoft.com/office/drawing/2014/chart" uri="{C3380CC4-5D6E-409C-BE32-E72D297353CC}">
              <c16:uniqueId val="{00000001-9276-4332-906F-17CCCDE777C4}"/>
            </c:ext>
          </c:extLst>
        </c:ser>
        <c:dLbls>
          <c:showLegendKey val="0"/>
          <c:showVal val="0"/>
          <c:showCatName val="0"/>
          <c:showSerName val="0"/>
          <c:showPercent val="0"/>
          <c:showBubbleSize val="0"/>
        </c:dLbls>
        <c:axId val="1243195567"/>
        <c:axId val="1200139135"/>
      </c:scatterChart>
      <c:catAx>
        <c:axId val="1072494351"/>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r>
                  <a:rPr lang="en-US">
                    <a:solidFill>
                      <a:schemeClr val="tx2"/>
                    </a:solidFill>
                  </a:rPr>
                  <a:t>AEP</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title>
        <c:numFmt formatCode="0.000%" sourceLinked="1"/>
        <c:majorTickMark val="none"/>
        <c:minorTickMark val="none"/>
        <c:tickLblPos val="nextTo"/>
        <c:spPr>
          <a:noFill/>
          <a:ln w="9575" cap="flat" cmpd="sng" algn="ctr">
            <a:solidFill>
              <a:schemeClr val="lt1">
                <a:lumMod val="75000"/>
              </a:schemeClr>
            </a:solidFill>
            <a:round/>
            <a:headEnd type="none" w="sm" len="sm"/>
            <a:tailEnd type="none" w="sm" len="sm"/>
          </a:ln>
          <a:effectLst/>
        </c:spPr>
        <c:txPr>
          <a:bodyPr rot="-60000000" spcFirstLastPara="1" vertOverflow="ellipsis" vert="horz" wrap="square" anchor="ctr" anchorCtr="1"/>
          <a:lstStyle/>
          <a:p>
            <a:pPr>
              <a:defRPr sz="900" b="1" i="0" u="none" strike="noStrike" kern="1200" cap="all" baseline="0">
                <a:solidFill>
                  <a:schemeClr val="tx2"/>
                </a:solidFill>
                <a:latin typeface="+mn-lt"/>
                <a:ea typeface="+mn-ea"/>
                <a:cs typeface="+mn-cs"/>
              </a:defRPr>
            </a:pPr>
            <a:endParaRPr lang="en-US"/>
          </a:p>
        </c:txPr>
        <c:crossAx val="1162608543"/>
        <c:crosses val="autoZero"/>
        <c:auto val="1"/>
        <c:lblAlgn val="ctr"/>
        <c:lblOffset val="100"/>
        <c:noMultiLvlLbl val="0"/>
      </c:catAx>
      <c:valAx>
        <c:axId val="1162608543"/>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a:effectLst/>
          </c:spPr>
        </c:majorGridlines>
        <c:title>
          <c:tx>
            <c:strRef>
              <c:f>'AAD Calculation'!$X$5</c:f>
              <c:strCache>
                <c:ptCount val="1"/>
                <c:pt idx="0">
                  <c:v>AEP Event Damage</c:v>
                </c:pt>
              </c:strCache>
            </c:strRef>
          </c:tx>
          <c:overlay val="0"/>
          <c:spPr>
            <a:noFill/>
            <a:ln>
              <a:noFill/>
            </a:ln>
            <a:effectLst/>
          </c:spPr>
          <c:txPr>
            <a:bodyPr rot="-54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title>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072494351"/>
        <c:crosses val="autoZero"/>
        <c:crossBetween val="midCat"/>
      </c:valAx>
      <c:valAx>
        <c:axId val="1200139135"/>
        <c:scaling>
          <c:orientation val="minMax"/>
          <c:min val="0"/>
        </c:scaling>
        <c:delete val="0"/>
        <c:axPos val="r"/>
        <c:title>
          <c:tx>
            <c:strRef>
              <c:f>'AAD Calculation'!$Y$5</c:f>
              <c:strCache>
                <c:ptCount val="1"/>
                <c:pt idx="0">
                  <c:v>Contribution to AAD</c:v>
                </c:pt>
              </c:strCache>
            </c:strRef>
          </c:tx>
          <c:overlay val="0"/>
          <c:spPr>
            <a:noFill/>
            <a:ln>
              <a:noFill/>
            </a:ln>
            <a:effectLst/>
          </c:spPr>
          <c:txPr>
            <a:bodyPr rot="-540000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n-US"/>
            </a:p>
          </c:txPr>
        </c:title>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n-US"/>
          </a:p>
        </c:txPr>
        <c:crossAx val="1243195567"/>
        <c:crosses val="max"/>
        <c:crossBetween val="midCat"/>
      </c:valAx>
      <c:valAx>
        <c:axId val="1243195567"/>
        <c:scaling>
          <c:orientation val="minMax"/>
        </c:scaling>
        <c:delete val="1"/>
        <c:axPos val="b"/>
        <c:majorTickMark val="out"/>
        <c:minorTickMark val="none"/>
        <c:tickLblPos val="nextTo"/>
        <c:crossAx val="120013913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6350" cap="flat" cmpd="sng" algn="ctr">
      <a:solidFill>
        <a:schemeClr val="tx1"/>
      </a:solidFill>
      <a:round/>
    </a:ln>
    <a:effectLst/>
  </c:spPr>
  <c:txPr>
    <a:bodyPr/>
    <a:lstStyle/>
    <a:p>
      <a:pPr>
        <a:defRPr/>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'AAD Calculation'!$BA$36</c:f>
          <c:strCache>
            <c:ptCount val="1"/>
            <c:pt idx="0">
              <c:v>Internal Damages</c:v>
            </c:pt>
          </c:strCache>
        </c:strRef>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j-lt"/>
              <a:ea typeface="+mj-ea"/>
              <a:cs typeface="+mj-cs"/>
            </a:defRPr>
          </a:pPr>
          <a:endParaRPr lang="en-US"/>
        </a:p>
      </c:txPr>
    </c:title>
    <c:autoTitleDeleted val="0"/>
    <c:plotArea>
      <c:layout/>
      <c:areaChart>
        <c:grouping val="standard"/>
        <c:varyColors val="0"/>
        <c:ser>
          <c:idx val="1"/>
          <c:order val="0"/>
          <c:tx>
            <c:v>Annual Average Damage</c:v>
          </c:tx>
          <c:spPr>
            <a:gradFill flip="none" rotWithShape="1">
              <a:gsLst>
                <a:gs pos="0">
                  <a:schemeClr val="accent1">
                    <a:lumMod val="40000"/>
                    <a:lumOff val="60000"/>
                  </a:schemeClr>
                </a:gs>
                <a:gs pos="50000">
                  <a:schemeClr val="accent1">
                    <a:alpha val="90000"/>
                    <a:lumMod val="60000"/>
                    <a:lumOff val="40000"/>
                  </a:schemeClr>
                </a:gs>
                <a:gs pos="100000">
                  <a:schemeClr val="accent1">
                    <a:lumMod val="75000"/>
                  </a:schemeClr>
                </a:gs>
              </a:gsLst>
              <a:lin ang="1800000" scaled="0"/>
              <a:tileRect/>
            </a:gradFill>
            <a:ln w="25400">
              <a:noFill/>
            </a:ln>
            <a:effectLst/>
          </c:spPr>
          <c:cat>
            <c:numRef>
              <c:f>'AAD Calculation'!$AR$6:$AR$15</c:f>
              <c:numCache>
                <c:formatCode>0.0%</c:formatCode>
                <c:ptCount val="10"/>
                <c:pt idx="0" formatCode="0.000%">
                  <c:v>1.0000000000000001E-5</c:v>
                </c:pt>
                <c:pt idx="1">
                  <c:v>2E-3</c:v>
                </c:pt>
                <c:pt idx="2">
                  <c:v>5.0000000000000001E-3</c:v>
                </c:pt>
                <c:pt idx="3" formatCode="0%">
                  <c:v>0.01</c:v>
                </c:pt>
                <c:pt idx="4" formatCode="0%">
                  <c:v>0.02</c:v>
                </c:pt>
                <c:pt idx="5" formatCode="0%">
                  <c:v>0.05</c:v>
                </c:pt>
                <c:pt idx="6" formatCode="0%">
                  <c:v>0.1</c:v>
                </c:pt>
                <c:pt idx="7" formatCode="0%">
                  <c:v>0.2</c:v>
                </c:pt>
                <c:pt idx="8" formatCode="0%">
                  <c:v>0.5</c:v>
                </c:pt>
                <c:pt idx="9" formatCode="0%">
                  <c:v>1</c:v>
                </c:pt>
              </c:numCache>
            </c:numRef>
          </c:cat>
          <c:val>
            <c:numRef>
              <c:f>'AAD Calculation'!$AS$6:$AS$15</c:f>
              <c:numCache>
                <c:formatCode>"$"#,##0</c:formatCode>
                <c:ptCount val="10"/>
                <c:pt idx="0">
                  <c:v>9277982.9072007574</c:v>
                </c:pt>
                <c:pt idx="1">
                  <c:v>4983677.3758379798</c:v>
                </c:pt>
                <c:pt idx="2">
                  <c:v>4062929.7751924763</c:v>
                </c:pt>
                <c:pt idx="3">
                  <c:v>3057157.6931859944</c:v>
                </c:pt>
                <c:pt idx="4">
                  <c:v>1835158.7888177452</c:v>
                </c:pt>
                <c:pt idx="5">
                  <c:v>947138.15288391476</c:v>
                </c:pt>
                <c:pt idx="6">
                  <c:v>199255.78968685228</c:v>
                </c:pt>
                <c:pt idx="7">
                  <c:v>0</c:v>
                </c:pt>
                <c:pt idx="8">
                  <c:v>0</c:v>
                </c:pt>
                <c:pt idx="9">
                  <c:v>0</c:v>
                </c:pt>
              </c:numCache>
            </c:numRef>
          </c:val>
          <c:extLst>
            <c:ext xmlns:c16="http://schemas.microsoft.com/office/drawing/2014/chart" uri="{C3380CC4-5D6E-409C-BE32-E72D297353CC}">
              <c16:uniqueId val="{00000000-0E5F-4637-8496-167EF0EEC311}"/>
            </c:ext>
          </c:extLst>
        </c:ser>
        <c:dLbls>
          <c:showLegendKey val="0"/>
          <c:showVal val="0"/>
          <c:showCatName val="0"/>
          <c:showSerName val="0"/>
          <c:showPercent val="0"/>
          <c:showBubbleSize val="0"/>
        </c:dLbls>
        <c:dropLines>
          <c:spPr>
            <a:ln w="9525" cap="flat" cmpd="sng" algn="ctr">
              <a:solidFill>
                <a:schemeClr val="lt1">
                  <a:alpha val="40000"/>
                </a:schemeClr>
              </a:solidFill>
              <a:round/>
            </a:ln>
            <a:effectLst/>
          </c:spPr>
        </c:dropLines>
        <c:axId val="1072494351"/>
        <c:axId val="1162608543"/>
      </c:areaChart>
      <c:scatterChart>
        <c:scatterStyle val="lineMarker"/>
        <c:varyColors val="0"/>
        <c:ser>
          <c:idx val="0"/>
          <c:order val="1"/>
          <c:tx>
            <c:strRef>
              <c:f>'AAD Calculation'!$AT$5</c:f>
              <c:strCache>
                <c:ptCount val="1"/>
                <c:pt idx="0">
                  <c:v>Contribution to AAD</c:v>
                </c:pt>
              </c:strCache>
            </c:strRef>
          </c:tx>
          <c:spPr>
            <a:ln w="28575" cap="rnd">
              <a:gradFill flip="none" rotWithShape="1">
                <a:gsLst>
                  <a:gs pos="0">
                    <a:schemeClr val="accent2">
                      <a:lumMod val="20000"/>
                      <a:lumOff val="80000"/>
                    </a:schemeClr>
                  </a:gs>
                  <a:gs pos="70000">
                    <a:schemeClr val="accent2">
                      <a:lumMod val="75000"/>
                    </a:schemeClr>
                  </a:gs>
                </a:gsLst>
                <a:lin ang="16200000" scaled="1"/>
                <a:tileRect/>
              </a:gradFill>
              <a:prstDash val="lgDash"/>
              <a:round/>
            </a:ln>
            <a:effectLst/>
          </c:spPr>
          <c:marker>
            <c:symbol val="none"/>
          </c:marker>
          <c:yVal>
            <c:numRef>
              <c:f>'AAD Calculation'!$AT$6:$AT$15</c:f>
              <c:numCache>
                <c:formatCode>"$"#,##0</c:formatCode>
                <c:ptCount val="10"/>
                <c:pt idx="0">
                  <c:v>14190.351981623544</c:v>
                </c:pt>
                <c:pt idx="1">
                  <c:v>13569.910726545686</c:v>
                </c:pt>
                <c:pt idx="2">
                  <c:v>17800.218670946178</c:v>
                </c:pt>
                <c:pt idx="3">
                  <c:v>24461.582410018695</c:v>
                </c:pt>
                <c:pt idx="4">
                  <c:v>41734.454125524899</c:v>
                </c:pt>
                <c:pt idx="5">
                  <c:v>28659.848564269181</c:v>
                </c:pt>
                <c:pt idx="6">
                  <c:v>9962.7894843426147</c:v>
                </c:pt>
                <c:pt idx="7">
                  <c:v>0</c:v>
                </c:pt>
                <c:pt idx="8">
                  <c:v>0</c:v>
                </c:pt>
                <c:pt idx="9">
                  <c:v>0</c:v>
                </c:pt>
              </c:numCache>
            </c:numRef>
          </c:yVal>
          <c:smooth val="0"/>
          <c:extLst>
            <c:ext xmlns:c16="http://schemas.microsoft.com/office/drawing/2014/chart" uri="{C3380CC4-5D6E-409C-BE32-E72D297353CC}">
              <c16:uniqueId val="{00000001-0E5F-4637-8496-167EF0EEC311}"/>
            </c:ext>
          </c:extLst>
        </c:ser>
        <c:dLbls>
          <c:showLegendKey val="0"/>
          <c:showVal val="0"/>
          <c:showCatName val="0"/>
          <c:showSerName val="0"/>
          <c:showPercent val="0"/>
          <c:showBubbleSize val="0"/>
        </c:dLbls>
        <c:axId val="1243195567"/>
        <c:axId val="1200139135"/>
      </c:scatterChart>
      <c:catAx>
        <c:axId val="1072494351"/>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r>
                  <a:rPr lang="en-US">
                    <a:solidFill>
                      <a:schemeClr val="tx2"/>
                    </a:solidFill>
                  </a:rPr>
                  <a:t>AEP</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title>
        <c:numFmt formatCode="0.000%" sourceLinked="1"/>
        <c:majorTickMark val="none"/>
        <c:minorTickMark val="none"/>
        <c:tickLblPos val="nextTo"/>
        <c:spPr>
          <a:noFill/>
          <a:ln w="9575" cap="flat" cmpd="sng" algn="ctr">
            <a:solidFill>
              <a:schemeClr val="lt1">
                <a:lumMod val="75000"/>
              </a:schemeClr>
            </a:solidFill>
            <a:round/>
            <a:headEnd type="none" w="sm" len="sm"/>
            <a:tailEnd type="none" w="sm" len="sm"/>
          </a:ln>
          <a:effectLst/>
        </c:spPr>
        <c:txPr>
          <a:bodyPr rot="-60000000" spcFirstLastPara="1" vertOverflow="ellipsis" vert="horz" wrap="square" anchor="ctr" anchorCtr="1"/>
          <a:lstStyle/>
          <a:p>
            <a:pPr>
              <a:defRPr sz="900" b="1" i="0" u="none" strike="noStrike" kern="1200" cap="all" baseline="0">
                <a:solidFill>
                  <a:schemeClr val="tx2"/>
                </a:solidFill>
                <a:latin typeface="+mn-lt"/>
                <a:ea typeface="+mn-ea"/>
                <a:cs typeface="+mn-cs"/>
              </a:defRPr>
            </a:pPr>
            <a:endParaRPr lang="en-US"/>
          </a:p>
        </c:txPr>
        <c:crossAx val="1162608543"/>
        <c:crosses val="autoZero"/>
        <c:auto val="1"/>
        <c:lblAlgn val="ctr"/>
        <c:lblOffset val="100"/>
        <c:noMultiLvlLbl val="0"/>
      </c:catAx>
      <c:valAx>
        <c:axId val="1162608543"/>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a:effectLst/>
          </c:spPr>
        </c:majorGridlines>
        <c:title>
          <c:tx>
            <c:strRef>
              <c:f>'AAD Calculation'!$AS$5</c:f>
              <c:strCache>
                <c:ptCount val="1"/>
                <c:pt idx="0">
                  <c:v>AEP Event Damage</c:v>
                </c:pt>
              </c:strCache>
            </c:strRef>
          </c:tx>
          <c:overlay val="0"/>
          <c:spPr>
            <a:noFill/>
            <a:ln>
              <a:noFill/>
            </a:ln>
            <a:effectLst/>
          </c:spPr>
          <c:txPr>
            <a:bodyPr rot="-54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title>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072494351"/>
        <c:crosses val="autoZero"/>
        <c:crossBetween val="midCat"/>
      </c:valAx>
      <c:valAx>
        <c:axId val="1200139135"/>
        <c:scaling>
          <c:orientation val="minMax"/>
          <c:min val="0"/>
        </c:scaling>
        <c:delete val="0"/>
        <c:axPos val="r"/>
        <c:title>
          <c:tx>
            <c:strRef>
              <c:f>'AAD Calculation'!$AT$5</c:f>
              <c:strCache>
                <c:ptCount val="1"/>
                <c:pt idx="0">
                  <c:v>Contribution to AAD</c:v>
                </c:pt>
              </c:strCache>
            </c:strRef>
          </c:tx>
          <c:overlay val="0"/>
          <c:spPr>
            <a:noFill/>
            <a:ln>
              <a:noFill/>
            </a:ln>
            <a:effectLst/>
          </c:spPr>
          <c:txPr>
            <a:bodyPr rot="-540000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n-US"/>
            </a:p>
          </c:txPr>
        </c:title>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n-US"/>
          </a:p>
        </c:txPr>
        <c:crossAx val="1243195567"/>
        <c:crosses val="max"/>
        <c:crossBetween val="midCat"/>
      </c:valAx>
      <c:valAx>
        <c:axId val="1243195567"/>
        <c:scaling>
          <c:orientation val="minMax"/>
        </c:scaling>
        <c:delete val="1"/>
        <c:axPos val="b"/>
        <c:majorTickMark val="out"/>
        <c:minorTickMark val="none"/>
        <c:tickLblPos val="nextTo"/>
        <c:crossAx val="120013913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6350" cap="flat" cmpd="sng" algn="ctr">
      <a:solidFill>
        <a:schemeClr val="tx1"/>
      </a:solidFill>
      <a:round/>
    </a:ln>
    <a:effectLst/>
  </c:spPr>
  <c:txPr>
    <a:bodyPr/>
    <a:lstStyle/>
    <a:p>
      <a:pPr>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'AAD Calculation'!$BV$36</c:f>
          <c:strCache>
            <c:ptCount val="1"/>
            <c:pt idx="0">
              <c:v>External Damages</c:v>
            </c:pt>
          </c:strCache>
        </c:strRef>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j-lt"/>
              <a:ea typeface="+mj-ea"/>
              <a:cs typeface="+mj-cs"/>
            </a:defRPr>
          </a:pPr>
          <a:endParaRPr lang="en-US"/>
        </a:p>
      </c:txPr>
    </c:title>
    <c:autoTitleDeleted val="0"/>
    <c:plotArea>
      <c:layout/>
      <c:areaChart>
        <c:grouping val="standard"/>
        <c:varyColors val="0"/>
        <c:ser>
          <c:idx val="1"/>
          <c:order val="0"/>
          <c:tx>
            <c:v>Annual Average Damage</c:v>
          </c:tx>
          <c:spPr>
            <a:gradFill flip="none" rotWithShape="1">
              <a:gsLst>
                <a:gs pos="0">
                  <a:schemeClr val="accent1">
                    <a:lumMod val="40000"/>
                    <a:lumOff val="60000"/>
                  </a:schemeClr>
                </a:gs>
                <a:gs pos="50000">
                  <a:schemeClr val="accent1">
                    <a:alpha val="90000"/>
                    <a:lumMod val="60000"/>
                    <a:lumOff val="40000"/>
                  </a:schemeClr>
                </a:gs>
                <a:gs pos="100000">
                  <a:schemeClr val="accent1">
                    <a:lumMod val="75000"/>
                  </a:schemeClr>
                </a:gs>
              </a:gsLst>
              <a:lin ang="1800000" scaled="0"/>
              <a:tileRect/>
            </a:gradFill>
            <a:ln w="25400">
              <a:noFill/>
            </a:ln>
            <a:effectLst/>
          </c:spPr>
          <c:cat>
            <c:numRef>
              <c:f>'AAD Calculation'!$BM$6:$BM$15</c:f>
              <c:numCache>
                <c:formatCode>0.0%</c:formatCode>
                <c:ptCount val="10"/>
                <c:pt idx="0" formatCode="0.000%">
                  <c:v>1.0000000000000001E-5</c:v>
                </c:pt>
                <c:pt idx="1">
                  <c:v>2E-3</c:v>
                </c:pt>
                <c:pt idx="2">
                  <c:v>5.0000000000000001E-3</c:v>
                </c:pt>
                <c:pt idx="3" formatCode="0%">
                  <c:v>0.01</c:v>
                </c:pt>
                <c:pt idx="4" formatCode="0%">
                  <c:v>0.02</c:v>
                </c:pt>
                <c:pt idx="5" formatCode="0%">
                  <c:v>0.05</c:v>
                </c:pt>
                <c:pt idx="6" formatCode="0%">
                  <c:v>0.1</c:v>
                </c:pt>
                <c:pt idx="7" formatCode="0%">
                  <c:v>0.2</c:v>
                </c:pt>
                <c:pt idx="8" formatCode="0%">
                  <c:v>0.5</c:v>
                </c:pt>
                <c:pt idx="9" formatCode="0%">
                  <c:v>1</c:v>
                </c:pt>
              </c:numCache>
            </c:numRef>
          </c:cat>
          <c:val>
            <c:numRef>
              <c:f>'AAD Calculation'!$BN$6:$BN$15</c:f>
              <c:numCache>
                <c:formatCode>"$"#,##0</c:formatCode>
                <c:ptCount val="10"/>
                <c:pt idx="0">
                  <c:v>1600754.7033285093</c:v>
                </c:pt>
                <c:pt idx="1">
                  <c:v>1192051.3748191027</c:v>
                </c:pt>
                <c:pt idx="2">
                  <c:v>1055816.9319826337</c:v>
                </c:pt>
                <c:pt idx="3">
                  <c:v>885523.87843704771</c:v>
                </c:pt>
                <c:pt idx="4">
                  <c:v>630084.29811866861</c:v>
                </c:pt>
                <c:pt idx="5">
                  <c:v>357615.41244573082</c:v>
                </c:pt>
                <c:pt idx="6">
                  <c:v>119205.13748191026</c:v>
                </c:pt>
                <c:pt idx="7">
                  <c:v>0</c:v>
                </c:pt>
                <c:pt idx="8">
                  <c:v>0</c:v>
                </c:pt>
                <c:pt idx="9">
                  <c:v>0</c:v>
                </c:pt>
              </c:numCache>
            </c:numRef>
          </c:val>
          <c:extLst>
            <c:ext xmlns:c16="http://schemas.microsoft.com/office/drawing/2014/chart" uri="{C3380CC4-5D6E-409C-BE32-E72D297353CC}">
              <c16:uniqueId val="{00000000-4A86-48AC-B0D0-3095BDB8D9C5}"/>
            </c:ext>
          </c:extLst>
        </c:ser>
        <c:dLbls>
          <c:showLegendKey val="0"/>
          <c:showVal val="0"/>
          <c:showCatName val="0"/>
          <c:showSerName val="0"/>
          <c:showPercent val="0"/>
          <c:showBubbleSize val="0"/>
        </c:dLbls>
        <c:dropLines>
          <c:spPr>
            <a:ln w="9525" cap="flat" cmpd="sng" algn="ctr">
              <a:solidFill>
                <a:schemeClr val="lt1">
                  <a:alpha val="40000"/>
                </a:schemeClr>
              </a:solidFill>
              <a:round/>
            </a:ln>
            <a:effectLst/>
          </c:spPr>
        </c:dropLines>
        <c:axId val="1072494351"/>
        <c:axId val="1162608543"/>
      </c:areaChart>
      <c:scatterChart>
        <c:scatterStyle val="lineMarker"/>
        <c:varyColors val="0"/>
        <c:ser>
          <c:idx val="0"/>
          <c:order val="1"/>
          <c:tx>
            <c:strRef>
              <c:f>'AAD Calculation'!$BO$5</c:f>
              <c:strCache>
                <c:ptCount val="1"/>
                <c:pt idx="0">
                  <c:v>Contribution to AAD</c:v>
                </c:pt>
              </c:strCache>
            </c:strRef>
          </c:tx>
          <c:spPr>
            <a:ln w="28575" cap="rnd">
              <a:gradFill flip="none" rotWithShape="1">
                <a:gsLst>
                  <a:gs pos="0">
                    <a:schemeClr val="accent2">
                      <a:lumMod val="20000"/>
                      <a:lumOff val="80000"/>
                    </a:schemeClr>
                  </a:gs>
                  <a:gs pos="70000">
                    <a:schemeClr val="accent2">
                      <a:lumMod val="75000"/>
                    </a:schemeClr>
                  </a:gs>
                </a:gsLst>
                <a:lin ang="16200000" scaled="1"/>
                <a:tileRect/>
              </a:gradFill>
              <a:prstDash val="lgDash"/>
              <a:round/>
            </a:ln>
            <a:effectLst/>
          </c:spPr>
          <c:marker>
            <c:symbol val="none"/>
          </c:marker>
          <c:yVal>
            <c:numRef>
              <c:f>'AAD Calculation'!$BO$6:$BO$15</c:f>
              <c:numCache>
                <c:formatCode>"$"#,##0</c:formatCode>
                <c:ptCount val="10"/>
                <c:pt idx="0">
                  <c:v>2778.8420477568739</c:v>
                </c:pt>
                <c:pt idx="1">
                  <c:v>3371.8024602026044</c:v>
                </c:pt>
                <c:pt idx="2">
                  <c:v>4853.3520260492041</c:v>
                </c:pt>
                <c:pt idx="3">
                  <c:v>7578.0408827785823</c:v>
                </c:pt>
                <c:pt idx="4">
                  <c:v>14815.495658465992</c:v>
                </c:pt>
                <c:pt idx="5">
                  <c:v>11920.513748191028</c:v>
                </c:pt>
                <c:pt idx="6">
                  <c:v>5960.2568740955139</c:v>
                </c:pt>
                <c:pt idx="7">
                  <c:v>0</c:v>
                </c:pt>
                <c:pt idx="8">
                  <c:v>0</c:v>
                </c:pt>
                <c:pt idx="9">
                  <c:v>0</c:v>
                </c:pt>
              </c:numCache>
            </c:numRef>
          </c:yVal>
          <c:smooth val="0"/>
          <c:extLst>
            <c:ext xmlns:c16="http://schemas.microsoft.com/office/drawing/2014/chart" uri="{C3380CC4-5D6E-409C-BE32-E72D297353CC}">
              <c16:uniqueId val="{00000001-4A86-48AC-B0D0-3095BDB8D9C5}"/>
            </c:ext>
          </c:extLst>
        </c:ser>
        <c:dLbls>
          <c:showLegendKey val="0"/>
          <c:showVal val="0"/>
          <c:showCatName val="0"/>
          <c:showSerName val="0"/>
          <c:showPercent val="0"/>
          <c:showBubbleSize val="0"/>
        </c:dLbls>
        <c:axId val="1243195567"/>
        <c:axId val="1200139135"/>
      </c:scatterChart>
      <c:catAx>
        <c:axId val="1072494351"/>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r>
                  <a:rPr lang="en-US">
                    <a:solidFill>
                      <a:schemeClr val="tx2"/>
                    </a:solidFill>
                  </a:rPr>
                  <a:t>AEP</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title>
        <c:numFmt formatCode="0.000%" sourceLinked="1"/>
        <c:majorTickMark val="none"/>
        <c:minorTickMark val="none"/>
        <c:tickLblPos val="nextTo"/>
        <c:spPr>
          <a:noFill/>
          <a:ln w="9575" cap="flat" cmpd="sng" algn="ctr">
            <a:solidFill>
              <a:schemeClr val="lt1">
                <a:lumMod val="75000"/>
              </a:schemeClr>
            </a:solidFill>
            <a:round/>
            <a:headEnd type="none" w="sm" len="sm"/>
            <a:tailEnd type="none" w="sm" len="sm"/>
          </a:ln>
          <a:effectLst/>
        </c:spPr>
        <c:txPr>
          <a:bodyPr rot="-60000000" spcFirstLastPara="1" vertOverflow="ellipsis" vert="horz" wrap="square" anchor="ctr" anchorCtr="1"/>
          <a:lstStyle/>
          <a:p>
            <a:pPr>
              <a:defRPr sz="900" b="1" i="0" u="none" strike="noStrike" kern="1200" cap="all" baseline="0">
                <a:solidFill>
                  <a:schemeClr val="tx2"/>
                </a:solidFill>
                <a:latin typeface="+mn-lt"/>
                <a:ea typeface="+mn-ea"/>
                <a:cs typeface="+mn-cs"/>
              </a:defRPr>
            </a:pPr>
            <a:endParaRPr lang="en-US"/>
          </a:p>
        </c:txPr>
        <c:crossAx val="1162608543"/>
        <c:crosses val="autoZero"/>
        <c:auto val="1"/>
        <c:lblAlgn val="ctr"/>
        <c:lblOffset val="100"/>
        <c:noMultiLvlLbl val="0"/>
      </c:catAx>
      <c:valAx>
        <c:axId val="1162608543"/>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a:effectLst/>
          </c:spPr>
        </c:majorGridlines>
        <c:title>
          <c:tx>
            <c:strRef>
              <c:f>'AAD Calculation'!$BN$5</c:f>
              <c:strCache>
                <c:ptCount val="1"/>
                <c:pt idx="0">
                  <c:v>AEP Event Damage</c:v>
                </c:pt>
              </c:strCache>
            </c:strRef>
          </c:tx>
          <c:overlay val="0"/>
          <c:spPr>
            <a:noFill/>
            <a:ln>
              <a:noFill/>
            </a:ln>
            <a:effectLst/>
          </c:spPr>
          <c:txPr>
            <a:bodyPr rot="-54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title>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072494351"/>
        <c:crosses val="autoZero"/>
        <c:crossBetween val="midCat"/>
      </c:valAx>
      <c:valAx>
        <c:axId val="1200139135"/>
        <c:scaling>
          <c:orientation val="minMax"/>
          <c:min val="0"/>
        </c:scaling>
        <c:delete val="0"/>
        <c:axPos val="r"/>
        <c:title>
          <c:tx>
            <c:strRef>
              <c:f>'AAD Calculation'!$BO$5</c:f>
              <c:strCache>
                <c:ptCount val="1"/>
                <c:pt idx="0">
                  <c:v>Contribution to AAD</c:v>
                </c:pt>
              </c:strCache>
            </c:strRef>
          </c:tx>
          <c:overlay val="0"/>
          <c:spPr>
            <a:noFill/>
            <a:ln>
              <a:noFill/>
            </a:ln>
            <a:effectLst/>
          </c:spPr>
          <c:txPr>
            <a:bodyPr rot="-540000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n-US"/>
            </a:p>
          </c:txPr>
        </c:title>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n-US"/>
          </a:p>
        </c:txPr>
        <c:crossAx val="1243195567"/>
        <c:crosses val="max"/>
        <c:crossBetween val="midCat"/>
      </c:valAx>
      <c:valAx>
        <c:axId val="1243195567"/>
        <c:scaling>
          <c:orientation val="minMax"/>
        </c:scaling>
        <c:delete val="1"/>
        <c:axPos val="b"/>
        <c:majorTickMark val="out"/>
        <c:minorTickMark val="none"/>
        <c:tickLblPos val="nextTo"/>
        <c:crossAx val="120013913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6350" cap="flat" cmpd="sng" algn="ctr">
      <a:solidFill>
        <a:schemeClr val="tx1"/>
      </a:solidFill>
      <a:round/>
    </a:ln>
    <a:effectLst/>
  </c:spPr>
  <c:txPr>
    <a:bodyPr/>
    <a:lstStyle/>
    <a:p>
      <a:pPr>
        <a:defRPr/>
      </a:pPr>
      <a:endParaRPr lang="en-US"/>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'AAD Calculation'!$CQ$36</c:f>
          <c:strCache>
            <c:ptCount val="1"/>
            <c:pt idx="0">
              <c:v>Intangibles</c:v>
            </c:pt>
          </c:strCache>
        </c:strRef>
      </c:tx>
      <c:layout>
        <c:manualLayout>
          <c:xMode val="edge"/>
          <c:yMode val="edge"/>
          <c:x val="0.36850962608878679"/>
          <c:y val="2.0707573999004841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j-lt"/>
              <a:ea typeface="+mj-ea"/>
              <a:cs typeface="+mj-cs"/>
            </a:defRPr>
          </a:pPr>
          <a:endParaRPr lang="en-US"/>
        </a:p>
      </c:txPr>
    </c:title>
    <c:autoTitleDeleted val="0"/>
    <c:plotArea>
      <c:layout/>
      <c:areaChart>
        <c:grouping val="standard"/>
        <c:varyColors val="0"/>
        <c:ser>
          <c:idx val="1"/>
          <c:order val="0"/>
          <c:tx>
            <c:v>Annual Average Damage</c:v>
          </c:tx>
          <c:spPr>
            <a:gradFill flip="none" rotWithShape="1">
              <a:gsLst>
                <a:gs pos="0">
                  <a:schemeClr val="accent1">
                    <a:lumMod val="40000"/>
                    <a:lumOff val="60000"/>
                  </a:schemeClr>
                </a:gs>
                <a:gs pos="50000">
                  <a:schemeClr val="accent1">
                    <a:alpha val="90000"/>
                    <a:lumMod val="60000"/>
                    <a:lumOff val="40000"/>
                  </a:schemeClr>
                </a:gs>
                <a:gs pos="100000">
                  <a:schemeClr val="accent1">
                    <a:lumMod val="75000"/>
                  </a:schemeClr>
                </a:gs>
              </a:gsLst>
              <a:lin ang="1800000" scaled="0"/>
              <a:tileRect/>
            </a:gradFill>
            <a:ln w="25400">
              <a:noFill/>
            </a:ln>
            <a:effectLst/>
          </c:spPr>
          <c:cat>
            <c:numRef>
              <c:f>'AAD Calculation'!$CH$6:$CH$15</c:f>
              <c:numCache>
                <c:formatCode>0.0%</c:formatCode>
                <c:ptCount val="10"/>
                <c:pt idx="0" formatCode="0.000%">
                  <c:v>1.0000000000000001E-5</c:v>
                </c:pt>
                <c:pt idx="1">
                  <c:v>2E-3</c:v>
                </c:pt>
                <c:pt idx="2">
                  <c:v>5.0000000000000001E-3</c:v>
                </c:pt>
                <c:pt idx="3" formatCode="0%">
                  <c:v>0.01</c:v>
                </c:pt>
                <c:pt idx="4" formatCode="0%">
                  <c:v>0.02</c:v>
                </c:pt>
                <c:pt idx="5" formatCode="0%">
                  <c:v>0.05</c:v>
                </c:pt>
                <c:pt idx="6" formatCode="0%">
                  <c:v>0.1</c:v>
                </c:pt>
                <c:pt idx="7" formatCode="0%">
                  <c:v>0.2</c:v>
                </c:pt>
                <c:pt idx="8" formatCode="0%">
                  <c:v>0.5</c:v>
                </c:pt>
                <c:pt idx="9" formatCode="0%">
                  <c:v>1</c:v>
                </c:pt>
              </c:numCache>
            </c:numRef>
          </c:cat>
          <c:val>
            <c:numRef>
              <c:f>'AAD Calculation'!$CI$6:$CI$15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490-43F2-82DC-6AB0FC98AAE6}"/>
            </c:ext>
          </c:extLst>
        </c:ser>
        <c:dLbls>
          <c:showLegendKey val="0"/>
          <c:showVal val="0"/>
          <c:showCatName val="0"/>
          <c:showSerName val="0"/>
          <c:showPercent val="0"/>
          <c:showBubbleSize val="0"/>
        </c:dLbls>
        <c:dropLines>
          <c:spPr>
            <a:ln w="9525" cap="flat" cmpd="sng" algn="ctr">
              <a:solidFill>
                <a:schemeClr val="lt1">
                  <a:alpha val="40000"/>
                </a:schemeClr>
              </a:solidFill>
              <a:round/>
            </a:ln>
            <a:effectLst/>
          </c:spPr>
        </c:dropLines>
        <c:axId val="1072494351"/>
        <c:axId val="1162608543"/>
      </c:areaChart>
      <c:scatterChart>
        <c:scatterStyle val="lineMarker"/>
        <c:varyColors val="0"/>
        <c:ser>
          <c:idx val="0"/>
          <c:order val="1"/>
          <c:tx>
            <c:strRef>
              <c:f>'AAD Calculation'!$CJ$5</c:f>
              <c:strCache>
                <c:ptCount val="1"/>
                <c:pt idx="0">
                  <c:v>Contribution to AAD (includes Social Impacts)</c:v>
                </c:pt>
              </c:strCache>
            </c:strRef>
          </c:tx>
          <c:spPr>
            <a:ln w="28575" cap="rnd">
              <a:gradFill flip="none" rotWithShape="1">
                <a:gsLst>
                  <a:gs pos="0">
                    <a:schemeClr val="accent2">
                      <a:lumMod val="20000"/>
                      <a:lumOff val="80000"/>
                    </a:schemeClr>
                  </a:gs>
                  <a:gs pos="70000">
                    <a:schemeClr val="accent2">
                      <a:lumMod val="75000"/>
                    </a:schemeClr>
                  </a:gs>
                </a:gsLst>
                <a:lin ang="16200000" scaled="1"/>
                <a:tileRect/>
              </a:gradFill>
              <a:prstDash val="lgDash"/>
              <a:round/>
            </a:ln>
            <a:effectLst/>
          </c:spPr>
          <c:marker>
            <c:symbol val="none"/>
          </c:marker>
          <c:yVal>
            <c:numRef>
              <c:f>'AAD Calculation'!$CJ$6:$CJ$15</c:f>
              <c:numCache>
                <c:formatCode>"$"#,##0</c:formatCode>
                <c:ptCount val="10"/>
                <c:pt idx="0">
                  <c:v>0</c:v>
                </c:pt>
                <c:pt idx="1">
                  <c:v>0</c:v>
                </c:pt>
                <c:pt idx="2">
                  <c:v>0</c:v>
                </c:pt>
                <c:pt idx="3">
                  <c:v>851.12468162083917</c:v>
                </c:pt>
                <c:pt idx="4">
                  <c:v>3226.1967390255668</c:v>
                </c:pt>
                <c:pt idx="5">
                  <c:v>6302.0917969126867</c:v>
                </c:pt>
                <c:pt idx="6">
                  <c:v>2369.5710757356487</c:v>
                </c:pt>
                <c:pt idx="7">
                  <c:v>0</c:v>
                </c:pt>
                <c:pt idx="8">
                  <c:v>0</c:v>
                </c:pt>
                <c:pt idx="9">
                  <c:v>0</c:v>
                </c:pt>
              </c:numCache>
            </c:numRef>
          </c:yVal>
          <c:smooth val="0"/>
          <c:extLst>
            <c:ext xmlns:c16="http://schemas.microsoft.com/office/drawing/2014/chart" uri="{C3380CC4-5D6E-409C-BE32-E72D297353CC}">
              <c16:uniqueId val="{00000001-A490-43F2-82DC-6AB0FC98AAE6}"/>
            </c:ext>
          </c:extLst>
        </c:ser>
        <c:dLbls>
          <c:showLegendKey val="0"/>
          <c:showVal val="0"/>
          <c:showCatName val="0"/>
          <c:showSerName val="0"/>
          <c:showPercent val="0"/>
          <c:showBubbleSize val="0"/>
        </c:dLbls>
        <c:axId val="1243195567"/>
        <c:axId val="1200139135"/>
      </c:scatterChart>
      <c:catAx>
        <c:axId val="1072494351"/>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r>
                  <a:rPr lang="en-US">
                    <a:solidFill>
                      <a:schemeClr val="tx2"/>
                    </a:solidFill>
                  </a:rPr>
                  <a:t>AEP</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title>
        <c:numFmt formatCode="0.000%" sourceLinked="1"/>
        <c:majorTickMark val="none"/>
        <c:minorTickMark val="none"/>
        <c:tickLblPos val="nextTo"/>
        <c:spPr>
          <a:noFill/>
          <a:ln w="9575" cap="flat" cmpd="sng" algn="ctr">
            <a:solidFill>
              <a:schemeClr val="lt1">
                <a:lumMod val="75000"/>
              </a:schemeClr>
            </a:solidFill>
            <a:round/>
            <a:headEnd type="none" w="sm" len="sm"/>
            <a:tailEnd type="none" w="sm" len="sm"/>
          </a:ln>
          <a:effectLst/>
        </c:spPr>
        <c:txPr>
          <a:bodyPr rot="-60000000" spcFirstLastPara="1" vertOverflow="ellipsis" vert="horz" wrap="square" anchor="ctr" anchorCtr="1"/>
          <a:lstStyle/>
          <a:p>
            <a:pPr>
              <a:defRPr sz="900" b="1" i="0" u="none" strike="noStrike" kern="1200" cap="all" baseline="0">
                <a:solidFill>
                  <a:schemeClr val="tx2"/>
                </a:solidFill>
                <a:latin typeface="+mn-lt"/>
                <a:ea typeface="+mn-ea"/>
                <a:cs typeface="+mn-cs"/>
              </a:defRPr>
            </a:pPr>
            <a:endParaRPr lang="en-US"/>
          </a:p>
        </c:txPr>
        <c:crossAx val="1162608543"/>
        <c:crosses val="autoZero"/>
        <c:auto val="1"/>
        <c:lblAlgn val="ctr"/>
        <c:lblOffset val="100"/>
        <c:noMultiLvlLbl val="0"/>
      </c:catAx>
      <c:valAx>
        <c:axId val="1162608543"/>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a:effectLst/>
          </c:spPr>
        </c:majorGridlines>
        <c:title>
          <c:tx>
            <c:strRef>
              <c:f>'AAD Calculation'!$CI$5</c:f>
              <c:strCache>
                <c:ptCount val="1"/>
                <c:pt idx="0">
                  <c:v>AEP Event Damage - Risk to Life</c:v>
                </c:pt>
              </c:strCache>
            </c:strRef>
          </c:tx>
          <c:overlay val="0"/>
          <c:spPr>
            <a:noFill/>
            <a:ln>
              <a:noFill/>
            </a:ln>
            <a:effectLst/>
          </c:spPr>
          <c:txPr>
            <a:bodyPr rot="-54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title>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072494351"/>
        <c:crosses val="autoZero"/>
        <c:crossBetween val="midCat"/>
      </c:valAx>
      <c:valAx>
        <c:axId val="1200139135"/>
        <c:scaling>
          <c:orientation val="minMax"/>
          <c:min val="0"/>
        </c:scaling>
        <c:delete val="0"/>
        <c:axPos val="r"/>
        <c:title>
          <c:tx>
            <c:strRef>
              <c:f>'AAD Calculation'!$CJ$5</c:f>
              <c:strCache>
                <c:ptCount val="1"/>
                <c:pt idx="0">
                  <c:v>Contribution to AAD (includes Social Impacts)</c:v>
                </c:pt>
              </c:strCache>
            </c:strRef>
          </c:tx>
          <c:overlay val="0"/>
          <c:spPr>
            <a:noFill/>
            <a:ln>
              <a:noFill/>
            </a:ln>
            <a:effectLst/>
          </c:spPr>
          <c:txPr>
            <a:bodyPr rot="-540000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n-US"/>
            </a:p>
          </c:txPr>
        </c:title>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n-US"/>
          </a:p>
        </c:txPr>
        <c:crossAx val="1243195567"/>
        <c:crosses val="max"/>
        <c:crossBetween val="midCat"/>
      </c:valAx>
      <c:valAx>
        <c:axId val="1243195567"/>
        <c:scaling>
          <c:orientation val="minMax"/>
        </c:scaling>
        <c:delete val="1"/>
        <c:axPos val="b"/>
        <c:majorTickMark val="out"/>
        <c:minorTickMark val="none"/>
        <c:tickLblPos val="nextTo"/>
        <c:crossAx val="120013913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6350" cap="flat" cmpd="sng" algn="ctr">
      <a:solidFill>
        <a:schemeClr val="tx1"/>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5">
  <a:schemeClr val="accent5"/>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0">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0">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chart" Target="../charts/chart9.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editAs="oneCell">
    <xdr:from>
      <xdr:col>1</xdr:col>
      <xdr:colOff>57149</xdr:colOff>
      <xdr:row>3</xdr:row>
      <xdr:rowOff>38100</xdr:rowOff>
    </xdr:from>
    <xdr:to>
      <xdr:col>8</xdr:col>
      <xdr:colOff>552642</xdr:colOff>
      <xdr:row>13</xdr:row>
      <xdr:rowOff>164479</xdr:rowOff>
    </xdr:to>
    <xdr:pic>
      <xdr:nvPicPr>
        <xdr:cNvPr id="3" name="Picture 2">
          <a:extLst>
            <a:ext uri="{FF2B5EF4-FFF2-40B4-BE49-F238E27FC236}">
              <a16:creationId xmlns:a16="http://schemas.microsoft.com/office/drawing/2014/main" id="{DDA7C0BE-B37B-44C1-8375-CE1951473423}"/>
            </a:ext>
          </a:extLst>
        </xdr:cNvPr>
        <xdr:cNvPicPr>
          <a:picLocks noChangeAspect="1"/>
        </xdr:cNvPicPr>
      </xdr:nvPicPr>
      <xdr:blipFill>
        <a:blip xmlns:r="http://schemas.openxmlformats.org/officeDocument/2006/relationships" r:embed="rId1"/>
        <a:stretch>
          <a:fillRect/>
        </a:stretch>
      </xdr:blipFill>
      <xdr:spPr>
        <a:xfrm>
          <a:off x="257174" y="733425"/>
          <a:ext cx="6948000" cy="20345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218735" y="1316831"/>
    <xdr:ext cx="5760000" cy="3600000"/>
    <xdr:graphicFrame macro="">
      <xdr:nvGraphicFramePr>
        <xdr:cNvPr id="5" name="Chart 4">
          <a:extLst>
            <a:ext uri="{FF2B5EF4-FFF2-40B4-BE49-F238E27FC236}">
              <a16:creationId xmlns:a16="http://schemas.microsoft.com/office/drawing/2014/main" id="{D00D2AF8-33BB-446B-84BB-F0001779476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2</xdr:col>
      <xdr:colOff>228600</xdr:colOff>
      <xdr:row>18</xdr:row>
      <xdr:rowOff>92075</xdr:rowOff>
    </xdr:from>
    <xdr:to>
      <xdr:col>7</xdr:col>
      <xdr:colOff>48895</xdr:colOff>
      <xdr:row>41</xdr:row>
      <xdr:rowOff>115250</xdr:rowOff>
    </xdr:to>
    <xdr:pic>
      <xdr:nvPicPr>
        <xdr:cNvPr id="2" name="Picture 1">
          <a:extLst>
            <a:ext uri="{FF2B5EF4-FFF2-40B4-BE49-F238E27FC236}">
              <a16:creationId xmlns:a16="http://schemas.microsoft.com/office/drawing/2014/main" id="{A0975183-4710-4027-AF91-817D71275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325" y="3492500"/>
          <a:ext cx="4973320" cy="418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708212</xdr:colOff>
      <xdr:row>77</xdr:row>
      <xdr:rowOff>8965</xdr:rowOff>
    </xdr:from>
    <xdr:to>
      <xdr:col>6</xdr:col>
      <xdr:colOff>350364</xdr:colOff>
      <xdr:row>93</xdr:row>
      <xdr:rowOff>85872</xdr:rowOff>
    </xdr:to>
    <xdr:pic>
      <xdr:nvPicPr>
        <xdr:cNvPr id="4" name="Picture 3">
          <a:extLst>
            <a:ext uri="{FF2B5EF4-FFF2-40B4-BE49-F238E27FC236}">
              <a16:creationId xmlns:a16="http://schemas.microsoft.com/office/drawing/2014/main" id="{13D686AC-FB15-478A-96AE-993152464AE5}"/>
            </a:ext>
          </a:extLst>
        </xdr:cNvPr>
        <xdr:cNvPicPr>
          <a:picLocks noChangeAspect="1"/>
        </xdr:cNvPicPr>
      </xdr:nvPicPr>
      <xdr:blipFill>
        <a:blip xmlns:r="http://schemas.openxmlformats.org/officeDocument/2006/relationships" r:embed="rId1"/>
        <a:stretch>
          <a:fillRect/>
        </a:stretch>
      </xdr:blipFill>
      <xdr:spPr>
        <a:xfrm>
          <a:off x="914400" y="16037859"/>
          <a:ext cx="5349495" cy="2948788"/>
        </a:xfrm>
        <a:prstGeom prst="rect">
          <a:avLst/>
        </a:prstGeom>
        <a:ln>
          <a:solidFill>
            <a:schemeClr val="accent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7</xdr:row>
      <xdr:rowOff>0</xdr:rowOff>
    </xdr:from>
    <xdr:to>
      <xdr:col>8</xdr:col>
      <xdr:colOff>306258</xdr:colOff>
      <xdr:row>26</xdr:row>
      <xdr:rowOff>83915</xdr:rowOff>
    </xdr:to>
    <xdr:graphicFrame macro="">
      <xdr:nvGraphicFramePr>
        <xdr:cNvPr id="4" name="Chart 3">
          <a:extLst>
            <a:ext uri="{FF2B5EF4-FFF2-40B4-BE49-F238E27FC236}">
              <a16:creationId xmlns:a16="http://schemas.microsoft.com/office/drawing/2014/main" id="{2D5AC201-8989-454E-9428-3CCBFE1B1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xdr:row>
      <xdr:rowOff>0</xdr:rowOff>
    </xdr:from>
    <xdr:to>
      <xdr:col>8</xdr:col>
      <xdr:colOff>189107</xdr:colOff>
      <xdr:row>23</xdr:row>
      <xdr:rowOff>60510</xdr:rowOff>
    </xdr:to>
    <xdr:graphicFrame macro="">
      <xdr:nvGraphicFramePr>
        <xdr:cNvPr id="3" name="Chart 2">
          <a:extLst>
            <a:ext uri="{FF2B5EF4-FFF2-40B4-BE49-F238E27FC236}">
              <a16:creationId xmlns:a16="http://schemas.microsoft.com/office/drawing/2014/main" id="{F6D132D6-9105-4132-83B0-F24F0EA968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24</xdr:row>
      <xdr:rowOff>0</xdr:rowOff>
    </xdr:from>
    <xdr:to>
      <xdr:col>8</xdr:col>
      <xdr:colOff>173644</xdr:colOff>
      <xdr:row>43</xdr:row>
      <xdr:rowOff>60734</xdr:rowOff>
    </xdr:to>
    <xdr:graphicFrame macro="">
      <xdr:nvGraphicFramePr>
        <xdr:cNvPr id="5" name="Chart 4">
          <a:extLst>
            <a:ext uri="{FF2B5EF4-FFF2-40B4-BE49-F238E27FC236}">
              <a16:creationId xmlns:a16="http://schemas.microsoft.com/office/drawing/2014/main" id="{89E95C4B-D49A-4E63-85E7-E451476CEC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45</xdr:row>
      <xdr:rowOff>0</xdr:rowOff>
    </xdr:from>
    <xdr:to>
      <xdr:col>8</xdr:col>
      <xdr:colOff>184625</xdr:colOff>
      <xdr:row>64</xdr:row>
      <xdr:rowOff>60510</xdr:rowOff>
    </xdr:to>
    <xdr:graphicFrame macro="">
      <xdr:nvGraphicFramePr>
        <xdr:cNvPr id="7" name="Chart 6">
          <a:extLst>
            <a:ext uri="{FF2B5EF4-FFF2-40B4-BE49-F238E27FC236}">
              <a16:creationId xmlns:a16="http://schemas.microsoft.com/office/drawing/2014/main" id="{4BD31D8D-C597-48E0-89DE-3407D8A6C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17</xdr:row>
      <xdr:rowOff>0</xdr:rowOff>
    </xdr:from>
    <xdr:to>
      <xdr:col>8</xdr:col>
      <xdr:colOff>245614</xdr:colOff>
      <xdr:row>36</xdr:row>
      <xdr:rowOff>37901</xdr:rowOff>
    </xdr:to>
    <xdr:graphicFrame macro="">
      <xdr:nvGraphicFramePr>
        <xdr:cNvPr id="10" name="Chart 9">
          <a:extLst>
            <a:ext uri="{FF2B5EF4-FFF2-40B4-BE49-F238E27FC236}">
              <a16:creationId xmlns:a16="http://schemas.microsoft.com/office/drawing/2014/main" id="{E804152D-3FF9-4987-8B82-8ADB739EE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17</xdr:row>
      <xdr:rowOff>0</xdr:rowOff>
    </xdr:from>
    <xdr:to>
      <xdr:col>29</xdr:col>
      <xdr:colOff>245614</xdr:colOff>
      <xdr:row>36</xdr:row>
      <xdr:rowOff>37901</xdr:rowOff>
    </xdr:to>
    <xdr:graphicFrame macro="">
      <xdr:nvGraphicFramePr>
        <xdr:cNvPr id="11" name="Chart 10">
          <a:extLst>
            <a:ext uri="{FF2B5EF4-FFF2-40B4-BE49-F238E27FC236}">
              <a16:creationId xmlns:a16="http://schemas.microsoft.com/office/drawing/2014/main" id="{BBAD9E45-7DDC-4AD3-9324-9D5E6FB4A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0</xdr:colOff>
      <xdr:row>17</xdr:row>
      <xdr:rowOff>0</xdr:rowOff>
    </xdr:from>
    <xdr:to>
      <xdr:col>50</xdr:col>
      <xdr:colOff>245614</xdr:colOff>
      <xdr:row>36</xdr:row>
      <xdr:rowOff>37901</xdr:rowOff>
    </xdr:to>
    <xdr:graphicFrame macro="">
      <xdr:nvGraphicFramePr>
        <xdr:cNvPr id="12" name="Chart 11">
          <a:extLst>
            <a:ext uri="{FF2B5EF4-FFF2-40B4-BE49-F238E27FC236}">
              <a16:creationId xmlns:a16="http://schemas.microsoft.com/office/drawing/2014/main" id="{8D7C57C4-9A27-4DD7-ACB4-8F2E1CB74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64</xdr:col>
      <xdr:colOff>0</xdr:colOff>
      <xdr:row>17</xdr:row>
      <xdr:rowOff>0</xdr:rowOff>
    </xdr:from>
    <xdr:to>
      <xdr:col>71</xdr:col>
      <xdr:colOff>245614</xdr:colOff>
      <xdr:row>36</xdr:row>
      <xdr:rowOff>37901</xdr:rowOff>
    </xdr:to>
    <xdr:graphicFrame macro="">
      <xdr:nvGraphicFramePr>
        <xdr:cNvPr id="13" name="Chart 12">
          <a:extLst>
            <a:ext uri="{FF2B5EF4-FFF2-40B4-BE49-F238E27FC236}">
              <a16:creationId xmlns:a16="http://schemas.microsoft.com/office/drawing/2014/main" id="{C69EBD24-05D2-4C0E-80F4-4C8EDD074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85</xdr:col>
      <xdr:colOff>0</xdr:colOff>
      <xdr:row>17</xdr:row>
      <xdr:rowOff>0</xdr:rowOff>
    </xdr:from>
    <xdr:to>
      <xdr:col>92</xdr:col>
      <xdr:colOff>245614</xdr:colOff>
      <xdr:row>36</xdr:row>
      <xdr:rowOff>37901</xdr:rowOff>
    </xdr:to>
    <xdr:graphicFrame macro="">
      <xdr:nvGraphicFramePr>
        <xdr:cNvPr id="14" name="Chart 13">
          <a:extLst>
            <a:ext uri="{FF2B5EF4-FFF2-40B4-BE49-F238E27FC236}">
              <a16:creationId xmlns:a16="http://schemas.microsoft.com/office/drawing/2014/main" id="{5E6FCF13-F17B-408F-B0EC-DEB789033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206826</xdr:colOff>
      <xdr:row>19</xdr:row>
      <xdr:rowOff>185056</xdr:rowOff>
    </xdr:from>
    <xdr:to>
      <xdr:col>6</xdr:col>
      <xdr:colOff>478112</xdr:colOff>
      <xdr:row>42</xdr:row>
      <xdr:rowOff>62142</xdr:rowOff>
    </xdr:to>
    <xdr:graphicFrame macro="">
      <xdr:nvGraphicFramePr>
        <xdr:cNvPr id="2" name="Chart 1">
          <a:extLst>
            <a:ext uri="{FF2B5EF4-FFF2-40B4-BE49-F238E27FC236}">
              <a16:creationId xmlns:a16="http://schemas.microsoft.com/office/drawing/2014/main" id="{E53866E1-307F-4130-8665-0E0FD5A5E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729343</xdr:colOff>
      <xdr:row>20</xdr:row>
      <xdr:rowOff>10886</xdr:rowOff>
    </xdr:from>
    <xdr:to>
      <xdr:col>13</xdr:col>
      <xdr:colOff>629743</xdr:colOff>
      <xdr:row>42</xdr:row>
      <xdr:rowOff>73029</xdr:rowOff>
    </xdr:to>
    <xdr:graphicFrame macro="">
      <xdr:nvGraphicFramePr>
        <xdr:cNvPr id="3" name="Chart 2">
          <a:extLst>
            <a:ext uri="{FF2B5EF4-FFF2-40B4-BE49-F238E27FC236}">
              <a16:creationId xmlns:a16="http://schemas.microsoft.com/office/drawing/2014/main" id="{99EA5C1B-A434-414F-9810-F7806DD52D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20</xdr:row>
      <xdr:rowOff>0</xdr:rowOff>
    </xdr:from>
    <xdr:to>
      <xdr:col>20</xdr:col>
      <xdr:colOff>84685</xdr:colOff>
      <xdr:row>42</xdr:row>
      <xdr:rowOff>62143</xdr:rowOff>
    </xdr:to>
    <xdr:graphicFrame macro="">
      <xdr:nvGraphicFramePr>
        <xdr:cNvPr id="4" name="Chart 3">
          <a:extLst>
            <a:ext uri="{FF2B5EF4-FFF2-40B4-BE49-F238E27FC236}">
              <a16:creationId xmlns:a16="http://schemas.microsoft.com/office/drawing/2014/main" id="{29BF64EE-3785-4F2F-9F13-D6B03C64F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206187</xdr:colOff>
      <xdr:row>7</xdr:row>
      <xdr:rowOff>0</xdr:rowOff>
    </xdr:from>
    <xdr:to>
      <xdr:col>9</xdr:col>
      <xdr:colOff>22587</xdr:colOff>
      <xdr:row>27</xdr:row>
      <xdr:rowOff>14118</xdr:rowOff>
    </xdr:to>
    <xdr:graphicFrame macro="">
      <xdr:nvGraphicFramePr>
        <xdr:cNvPr id="9" name="Chart 8">
          <a:extLst>
            <a:ext uri="{FF2B5EF4-FFF2-40B4-BE49-F238E27FC236}">
              <a16:creationId xmlns:a16="http://schemas.microsoft.com/office/drawing/2014/main" id="{37E4B3D5-D9FE-4D33-A2DF-013781291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206187</xdr:colOff>
      <xdr:row>7</xdr:row>
      <xdr:rowOff>0</xdr:rowOff>
    </xdr:from>
    <xdr:to>
      <xdr:col>20</xdr:col>
      <xdr:colOff>4657</xdr:colOff>
      <xdr:row>27</xdr:row>
      <xdr:rowOff>14118</xdr:rowOff>
    </xdr:to>
    <xdr:graphicFrame macro="">
      <xdr:nvGraphicFramePr>
        <xdr:cNvPr id="10" name="Chart 9">
          <a:extLst>
            <a:ext uri="{FF2B5EF4-FFF2-40B4-BE49-F238E27FC236}">
              <a16:creationId xmlns:a16="http://schemas.microsoft.com/office/drawing/2014/main" id="{4BF03978-0E65-44C7-B736-DA647920A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7</xdr:row>
      <xdr:rowOff>0</xdr:rowOff>
    </xdr:from>
    <xdr:to>
      <xdr:col>29</xdr:col>
      <xdr:colOff>76377</xdr:colOff>
      <xdr:row>27</xdr:row>
      <xdr:rowOff>14118</xdr:rowOff>
    </xdr:to>
    <xdr:graphicFrame macro="">
      <xdr:nvGraphicFramePr>
        <xdr:cNvPr id="11" name="Chart 10">
          <a:extLst>
            <a:ext uri="{FF2B5EF4-FFF2-40B4-BE49-F238E27FC236}">
              <a16:creationId xmlns:a16="http://schemas.microsoft.com/office/drawing/2014/main" id="{BDD53CA8-2623-4022-909D-7998887B6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7</xdr:row>
      <xdr:rowOff>0</xdr:rowOff>
    </xdr:from>
    <xdr:to>
      <xdr:col>7</xdr:col>
      <xdr:colOff>632829</xdr:colOff>
      <xdr:row>26</xdr:row>
      <xdr:rowOff>83914</xdr:rowOff>
    </xdr:to>
    <xdr:graphicFrame macro="">
      <xdr:nvGraphicFramePr>
        <xdr:cNvPr id="10" name="Chart 9">
          <a:extLst>
            <a:ext uri="{FF2B5EF4-FFF2-40B4-BE49-F238E27FC236}">
              <a16:creationId xmlns:a16="http://schemas.microsoft.com/office/drawing/2014/main" id="{EC57261E-9DE3-4D18-8DF0-2D3BDD594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7</xdr:row>
      <xdr:rowOff>0</xdr:rowOff>
    </xdr:from>
    <xdr:to>
      <xdr:col>18</xdr:col>
      <xdr:colOff>186514</xdr:colOff>
      <xdr:row>26</xdr:row>
      <xdr:rowOff>83914</xdr:rowOff>
    </xdr:to>
    <xdr:graphicFrame macro="">
      <xdr:nvGraphicFramePr>
        <xdr:cNvPr id="11" name="Chart 10">
          <a:extLst>
            <a:ext uri="{FF2B5EF4-FFF2-40B4-BE49-F238E27FC236}">
              <a16:creationId xmlns:a16="http://schemas.microsoft.com/office/drawing/2014/main" id="{FC67AE86-9CE9-4EFD-8ADE-8681345B38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7</xdr:row>
      <xdr:rowOff>0</xdr:rowOff>
    </xdr:from>
    <xdr:to>
      <xdr:col>27</xdr:col>
      <xdr:colOff>632828</xdr:colOff>
      <xdr:row>26</xdr:row>
      <xdr:rowOff>83914</xdr:rowOff>
    </xdr:to>
    <xdr:graphicFrame macro="">
      <xdr:nvGraphicFramePr>
        <xdr:cNvPr id="12" name="Chart 11">
          <a:extLst>
            <a:ext uri="{FF2B5EF4-FFF2-40B4-BE49-F238E27FC236}">
              <a16:creationId xmlns:a16="http://schemas.microsoft.com/office/drawing/2014/main" id="{C8C113BF-E24D-4529-A669-C54188B77E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0</xdr:colOff>
      <xdr:row>7</xdr:row>
      <xdr:rowOff>0</xdr:rowOff>
    </xdr:from>
    <xdr:to>
      <xdr:col>38</xdr:col>
      <xdr:colOff>186514</xdr:colOff>
      <xdr:row>26</xdr:row>
      <xdr:rowOff>83914</xdr:rowOff>
    </xdr:to>
    <xdr:graphicFrame macro="">
      <xdr:nvGraphicFramePr>
        <xdr:cNvPr id="13" name="Chart 12">
          <a:extLst>
            <a:ext uri="{FF2B5EF4-FFF2-40B4-BE49-F238E27FC236}">
              <a16:creationId xmlns:a16="http://schemas.microsoft.com/office/drawing/2014/main" id="{26835AA9-D5BE-4419-AF68-6E8E8D626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28574F3-5DE2-4E4B-A1C9-945D8C22802A}" name="Relocation" displayName="Relocation" ref="E30:G157" totalsRowShown="0" headerRowDxfId="177" dataDxfId="175" headerRowBorderDxfId="176" tableBorderDxfId="174" headerRowCellStyle="Accent5">
  <autoFilter ref="E30:G157" xr:uid="{44446232-ED7E-4A6E-BB8D-2CFA05D42B85}"/>
  <tableColumns count="3">
    <tableColumn id="1" xr3:uid="{EA3B9340-ED09-4C54-88B4-16AE1FEED5BC}" name="Depth Above Floor Level (m)" dataDxfId="173"/>
    <tableColumn id="5" xr3:uid="{2B76D69E-1742-4C18-A52C-460971724070}" name="Duration (Weeks)" dataDxfId="172"/>
    <tableColumn id="2" xr3:uid="{58093F7E-63E9-4FD1-A678-0ADA191607D2}" name="Relocation Cost" dataDxfId="171"/>
  </tableColumns>
  <tableStyleInfo name="TableStyleLight13" showFirstColumn="1" showLastColumn="0" showRowStripes="1" showColumnStripes="1"/>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ED6DEFA-D6E7-4D6E-8C7B-B5EAD13FB6C5}" name="DetailedCombined" displayName="DetailedCombined" ref="CW18:DA48" headerRowDxfId="93" dataDxfId="92" totalsRowDxfId="91">
  <autoFilter ref="CW18:DA48" xr:uid="{FDC83031-4FBD-4E03-9746-CE805B4FCC84}">
    <filterColumn colId="0" hiddenButton="1"/>
    <filterColumn colId="1" hiddenButton="1"/>
    <filterColumn colId="2" hiddenButton="1"/>
    <filterColumn colId="3" hiddenButton="1"/>
    <filterColumn colId="4" hiddenButton="1"/>
  </autoFilter>
  <tableColumns count="5">
    <tableColumn id="1" xr3:uid="{261BD436-2E42-4D95-9FF4-6FFD8F931C9C}" name="AEP + Breakdown" dataDxfId="90"/>
    <tableColumn id="2" xr3:uid="{10155EA5-3A6C-41BB-A795-439AF6960EC7}" name="Flooding Count (Floor Level)" dataDxfId="89"/>
    <tableColumn id="3" xr3:uid="{9055292A-89E5-45A3-A9A7-B26C1828621F}" name="Max Depth (Floor Level)" dataDxfId="88"/>
    <tableColumn id="4" xr3:uid="{C790738C-23A9-4BFE-885E-8A24B7855D41}" name="Total Damages" dataDxfId="87" dataCellStyle="Currency">
      <calculatedColumnFormula>SUM(DetailedStructural[[#This Row],[Total Damages]],DetailedInternal[[#This Row],[Total Damages]],DetailedExternal[[#This Row],[Total Damages]],DetailedRiskToLife[[#This Row],[Total Damages]])</calculatedColumnFormula>
    </tableColumn>
    <tableColumn id="5" xr3:uid="{8DBF2306-8788-4AFE-BD3C-4A12522A5D06}" name="AAD per Property" dataDxfId="86" dataCellStyle="Currency"/>
  </tableColumns>
  <tableStyleInfo name="TableStyleLight13"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A8D9A4F9-DCE8-4E68-86F5-35F941375016}" name="SummaryCombined" displayName="SummaryCombined" ref="CW5:DA15" totalsRowShown="0" headerRowDxfId="85" dataDxfId="84" tableBorderDxfId="83">
  <autoFilter ref="CW5:DA15" xr:uid="{37C6DDE9-7454-4167-99D3-A84EEC651CD9}">
    <filterColumn colId="0" hiddenButton="1"/>
    <filterColumn colId="1" hiddenButton="1"/>
    <filterColumn colId="2" hiddenButton="1"/>
    <filterColumn colId="3" hiddenButton="1"/>
    <filterColumn colId="4" hiddenButton="1"/>
  </autoFilter>
  <tableColumns count="5">
    <tableColumn id="1" xr3:uid="{CB5B126F-8BB7-4CC5-8A89-01967416C5FE}" name="AEP" dataDxfId="82"/>
    <tableColumn id="2" xr3:uid="{85B2C54A-9F5D-451E-8EE6-9501FAC9A7DE}" name="Flooding Count" dataDxfId="81">
      <calculatedColumnFormula>MAX(SummaryStructural[[#This Row],[Over Floor Flooding]],SummaryInternal[[#This Row],[Over Floor Flooding]],SummaryExternal[[#This Row],[Over Ground Flooding]],SummaryRiskToLife[[#This Row],[Over Ground Flooding]])</calculatedColumnFormula>
    </tableColumn>
    <tableColumn id="3" xr3:uid="{06958764-AB74-449E-B11A-E023943A8280}" name="Max Over Floor Depth (m)" dataDxfId="80">
      <calculatedColumnFormula>MAX(SummaryStructural[[#This Row],[Max Over Floor Depth (m)]],SummaryInternal[[#This Row],[Max Over Floor Depth (m)]])</calculatedColumnFormula>
    </tableColumn>
    <tableColumn id="4" xr3:uid="{FEAB846E-A8EC-4E4D-B130-451B034DCA13}" name="Max Over Ground Depth (m)" dataDxfId="79">
      <calculatedColumnFormula>SummaryExternal[[#This Row],[Max Over Ground Depth (m)]]</calculatedColumnFormula>
    </tableColumn>
    <tableColumn id="5" xr3:uid="{AAE9930D-94F3-4753-8FD4-3A3CCF7F8E31}" name="Total Damages " dataDxfId="78">
      <calculatedColumnFormula>SUM(SummaryStructural[[#This Row],[Total Damages ]],SummaryInternal[[#This Row],[Total Damages ]],SummaryExternal[[#This Row],[Total Damages]],SummaryRiskToLife[[#This Row],[Total Damages ]])</calculatedColumnFormula>
    </tableColumn>
  </tableColumns>
  <tableStyleInfo name="TableStyleLight1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42AD2E3-DFCC-4737-A8A5-886DC3D2AA56}" name="Res1T" displayName="Res1T" ref="C30:I97" headerRowDxfId="74">
  <autoFilter ref="C30:I97" xr:uid="{942AD2E3-DFCC-4737-A8A5-886DC3D2AA5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4CECE1F-8F58-4F00-9F99-5314F4614701}" name="Level (m)" totalsRowLabel="Total" dataDxfId="73"/>
    <tableColumn id="2" xr3:uid="{0954CC1A-120D-43D2-962B-03DBC0CF88D0}" name="Damage Index" dataDxfId="72"/>
    <tableColumn id="3" xr3:uid="{00321C66-9405-4CFA-81CF-670A5C5D3F47}" name="---" dataDxfId="71"/>
    <tableColumn id="4" xr3:uid="{FC7DAC17-4782-49B0-94A7-B0C4A9BBC11C}" name="Small" dataDxfId="70">
      <calculatedColumnFormula>SUM(Res1S[[#This Row],[Small]],Res1I[[#This Row],[Small]])</calculatedColumnFormula>
    </tableColumn>
    <tableColumn id="5" xr3:uid="{5B2420E6-FE88-41FC-82B5-824C1E3AB2CB}" name="Medium" dataDxfId="69">
      <calculatedColumnFormula>SUM(Res1S[[#This Row],[Medium]],Res1I[[#This Row],[Medium]])</calculatedColumnFormula>
    </tableColumn>
    <tableColumn id="6" xr3:uid="{9F721DD9-0B3C-4E2C-AF35-8C2B91141F27}" name="Large" dataDxfId="68">
      <calculatedColumnFormula>SUM(Res1S[[#This Row],[Large]],Res1I[[#This Row],[Large]])</calculatedColumnFormula>
    </tableColumn>
    <tableColumn id="7" xr3:uid="{FFF81D9E-1F14-4BDC-9016-45DF883C7711}" name="Recommended" totalsRowFunction="count" dataDxfId="67">
      <calculatedColumnFormula>SUM(Res1S[[#This Row],[Recommended]],Res1I[[#This Row],[Recommended]])</calculatedColumnFormula>
    </tableColumn>
  </tableColumns>
  <tableStyleInfo name="TableStyleLight10" showFirstColumn="1" showLastColumn="0" showRowStripes="1" showColumnStripes="1"/>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F51A121-6EC0-410F-9765-50F43DF3CCFD}" name="Res2T" displayName="Res2T" ref="M30:S157" headerRowDxfId="66">
  <autoFilter ref="M30:S157" xr:uid="{0F51A121-6EC0-410F-9765-50F43DF3CCF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9167420-12C2-460A-8C25-42E181A62331}" name="Level (m)" totalsRowLabel="Total" dataDxfId="65"/>
    <tableColumn id="2" xr3:uid="{1592999C-AC75-4F3C-A361-B9F06729E36B}" name="Damage Index" dataDxfId="64"/>
    <tableColumn id="3" xr3:uid="{700E762B-C353-44C1-9430-D99E874CF0D4}" name="---" dataDxfId="63"/>
    <tableColumn id="4" xr3:uid="{3ADBB550-9C98-4624-B2A1-FED639B16432}" name="Small" dataDxfId="62">
      <calculatedColumnFormula>SUM(Res2S[[#This Row],[Small]],Res2I[[#This Row],[Small]])</calculatedColumnFormula>
    </tableColumn>
    <tableColumn id="5" xr3:uid="{A396C6E9-FA6B-4E16-9DEF-445BC4319EEA}" name="Medium" dataDxfId="61">
      <calculatedColumnFormula>SUM(Res2S[[#This Row],[Medium]],Res2I[[#This Row],[Medium]])</calculatedColumnFormula>
    </tableColumn>
    <tableColumn id="6" xr3:uid="{60DDE840-D655-421D-92C2-1AA9923B1521}" name="Large" dataDxfId="60">
      <calculatedColumnFormula>SUM(Res2S[[#This Row],[Large]],Res2I[[#This Row],[Large]])</calculatedColumnFormula>
    </tableColumn>
    <tableColumn id="7" xr3:uid="{CAF74AE7-672F-4463-9EC8-0270F48767E2}" name="Recommended" totalsRowFunction="count" dataDxfId="59">
      <calculatedColumnFormula>SUM(Res2S[[#This Row],[Recommended]],Res2I[[#This Row],[Recommended]])</calculatedColumnFormula>
    </tableColumn>
  </tableColumns>
  <tableStyleInfo name="TableStyleLight10" showFirstColumn="1" showLastColumn="0" showRowStripes="1" showColumnStripes="1"/>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1EB5C9F-74A3-40BD-A2B3-F5AFB5FA3FE9}" name="Com1T" displayName="Com1T" ref="Y30:AC117" totalsRowShown="0" headerRowDxfId="58" dataDxfId="56" headerRowBorderDxfId="57" tableBorderDxfId="55" headerRowCellStyle="Accent5">
  <autoFilter ref="Y30:AC117" xr:uid="{81EB5C9F-74A3-40BD-A2B3-F5AFB5FA3FE9}">
    <filterColumn colId="0" hiddenButton="1"/>
    <filterColumn colId="1" hiddenButton="1"/>
    <filterColumn colId="2" hiddenButton="1"/>
    <filterColumn colId="3" hiddenButton="1"/>
    <filterColumn colId="4" hiddenButton="1"/>
  </autoFilter>
  <tableColumns count="5">
    <tableColumn id="1" xr3:uid="{7BA10AC5-2403-4B81-89F7-5E013CEC1DEA}" name="Level (m)" dataDxfId="54"/>
    <tableColumn id="5" xr3:uid="{03081D1A-2ACF-414A-B0E1-1148E803A12A}" name="Public Buildings" dataDxfId="53">
      <calculatedColumnFormula array="1">CPI*W31*Z$29+CPI*W31*(IndirectCom+Trading)</calculatedColumnFormula>
    </tableColumn>
    <tableColumn id="2" xr3:uid="{6E00D6C3-475F-4911-91EF-C8358468CB00}" name="Low to Medium" dataDxfId="52">
      <calculatedColumnFormula array="1">CPI*W31*AA$29+CPI*W31*(IndirectCom+Trading)</calculatedColumnFormula>
    </tableColumn>
    <tableColumn id="3" xr3:uid="{BCE4810C-0AD4-479F-9763-348640CDED85}" name="Average" dataDxfId="51">
      <calculatedColumnFormula array="1">CPI*W31*AB$29+CPI*W31*(IndirectCom+Trading)</calculatedColumnFormula>
    </tableColumn>
    <tableColumn id="4" xr3:uid="{01ACCE1D-31FF-4298-8A6F-FF2D41B14F01}" name="Medium to High" dataDxfId="50">
      <calculatedColumnFormula array="1">CPI*W31*AC$29+CPI*W31*(IndirectCom+Trading)</calculatedColumnFormula>
    </tableColumn>
  </tableColumns>
  <tableStyleInfo name="TableStyleLight13" showFirstColumn="1" showLastColumn="0" showRowStripes="1" showColumnStripes="1"/>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7F53773-AB1D-466E-8A61-EC07B5ACA0E6}" name="Res1S" displayName="Res1S" ref="C30:I97" headerRowDxfId="49">
  <autoFilter ref="C30:I97" xr:uid="{F30017B2-D207-4CAF-A899-339FF2D2C17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6A18EED-51D3-4517-980D-55E974F7919E}" name="Level (m)" totalsRowLabel="Total" dataDxfId="48"/>
    <tableColumn id="2" xr3:uid="{B3283459-92EB-4A0B-9FB2-8E4E78F5FBB7}" name="Damage Index" dataDxfId="47"/>
    <tableColumn id="3" xr3:uid="{196B3608-5467-445D-BA69-41445619F84D}" name="---" dataDxfId="46"/>
    <tableColumn id="4" xr3:uid="{6DD086C2-1E82-4591-98A0-C89FFF105F02}" name="Small" dataDxfId="45">
      <calculatedColumnFormula>Res1S[[#This Row],[Damage Index]]*Inputs!C$30*Inputs!C$25</calculatedColumnFormula>
    </tableColumn>
    <tableColumn id="5" xr3:uid="{6865A015-282A-4C57-9AED-471B5F00C9F4}" name="Medium" dataDxfId="44">
      <calculatedColumnFormula>Res1S[[#This Row],[Damage Index]]*Inputs!D$30*Inputs!D$25</calculatedColumnFormula>
    </tableColumn>
    <tableColumn id="6" xr3:uid="{25CF5298-DACA-4BF6-9A7C-6C2DF1662399}" name="Large" dataDxfId="43">
      <calculatedColumnFormula>Res1S[[#This Row],[Damage Index]]*Inputs!E$30*Inputs!E$25</calculatedColumnFormula>
    </tableColumn>
    <tableColumn id="7" xr3:uid="{C92E971E-1794-481B-AF44-ED896FBEC9A5}" name="Recommended" totalsRowFunction="count" dataDxfId="42">
      <calculatedColumnFormula>Res1S[[#This Row],[Damage Index]]*Inputs!F$30*Inputs!F$25</calculatedColumnFormula>
    </tableColumn>
  </tableColumns>
  <tableStyleInfo name="TableStyleLight10" showFirstColumn="1" showLastColumn="0" showRowStripes="1" showColumnStripes="1"/>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F33CF7A-83CE-4412-B41D-570851976BAF}" name="Res2S" displayName="Res2S" ref="M30:S157" headerRowDxfId="41">
  <autoFilter ref="M30:S157" xr:uid="{CA3096EA-77BA-413A-A30D-E190E244744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9D6111-6EC9-4C1D-96A8-BB2DD9C34DCB}" name="Level (m)" totalsRowLabel="Total" dataDxfId="40"/>
    <tableColumn id="2" xr3:uid="{D4389914-D505-49C5-92A3-4FE25A18E8B4}" name="Damage Index" dataDxfId="39"/>
    <tableColumn id="3" xr3:uid="{681CA195-5ED2-410E-92A2-A215BC3D1460}" name="---" dataDxfId="38"/>
    <tableColumn id="4" xr3:uid="{3BC396B7-5336-4E34-BFA8-6D8E1E698A9B}" name="Small" dataDxfId="37">
      <calculatedColumnFormula>Res2S[[#This Row],[Damage Index]]*Inputs!C$30*Inputs!C$25</calculatedColumnFormula>
    </tableColumn>
    <tableColumn id="5" xr3:uid="{A69B698F-0A9F-4455-8D43-305B6CEC334F}" name="Medium" dataDxfId="36">
      <calculatedColumnFormula>Res2S[[#This Row],[Damage Index]]*Inputs!D$30*Inputs!D$25</calculatedColumnFormula>
    </tableColumn>
    <tableColumn id="6" xr3:uid="{777545F2-2A05-41CA-92B0-7FCC119BC8E5}" name="Large" dataDxfId="35">
      <calculatedColumnFormula>Res2S[[#This Row],[Damage Index]]*Inputs!E$30*Inputs!E$25</calculatedColumnFormula>
    </tableColumn>
    <tableColumn id="7" xr3:uid="{35812867-7A97-4B3C-B57E-9F1E20305367}" name="Recommended" totalsRowFunction="count" dataDxfId="34">
      <calculatedColumnFormula>Res2S[[#This Row],[Damage Index]]*Inputs!F$30*Inputs!F$25</calculatedColumnFormula>
    </tableColumn>
  </tableColumns>
  <tableStyleInfo name="TableStyleLight10" showFirstColumn="1" showLastColumn="0" showRowStripes="1" showColumnStripes="1"/>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F7E7C5E-794E-4936-A5EA-4468F7251DEA}" name="Res1I" displayName="Res1I" ref="W30:AC97" headerRowDxfId="33">
  <autoFilter ref="W30:AC97" xr:uid="{232A4CBC-2895-46B1-9A96-834CD4A76EE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4C2DC6B-CA35-474D-896F-F3503AE2B0CD}" name="Level (m)" totalsRowLabel="Total" dataDxfId="32"/>
    <tableColumn id="2" xr3:uid="{41517BF0-9E71-4673-8BD8-AC26B06DABB9}" name="Damage Index" dataDxfId="31"/>
    <tableColumn id="3" xr3:uid="{89DD8E6D-6D92-4D22-AFBD-5A341CD3DF48}" name="Adjusted Damage Index" dataDxfId="30">
      <calculatedColumnFormula>Res1I[[#This Row],[Damage Index]]*Inputs!$C$8</calculatedColumnFormula>
    </tableColumn>
    <tableColumn id="4" xr3:uid="{B0F63964-8701-49B4-8067-7454885544B1}" name="Small" dataDxfId="29">
      <calculatedColumnFormula array="1">AWE*Res1I[[#This Row],[Adjusted Damage Index]]*Inputs!$C$38*Inputs!C$30+IF(Res1I[[#This Row],[Level (m)]]&gt;0,Cleanup,0)+VLOOKUP(Res1I[[#This Row],[Level (m)]],Relocation[],3,FALSE)</calculatedColumnFormula>
    </tableColumn>
    <tableColumn id="5" xr3:uid="{AE5431C7-2BA2-4788-88C0-EED577E9E95D}" name="Medium" dataDxfId="28">
      <calculatedColumnFormula array="1">AWE*Res1I[[#This Row],[Adjusted Damage Index]]*Inputs!$C$38*Inputs!D$30+IF(Res1I[[#This Row],[Level (m)]]&gt;0,Cleanup,0)+VLOOKUP(Res1I[[#This Row],[Level (m)]],Relocation[],3,FALSE)</calculatedColumnFormula>
    </tableColumn>
    <tableColumn id="6" xr3:uid="{A519D3FB-5C3B-45F0-BC5C-36D3E306D1E5}" name="Large" dataDxfId="27">
      <calculatedColumnFormula array="1">AWE*Res1I[[#This Row],[Adjusted Damage Index]]*Inputs!$C$38*Inputs!E$30+IF(Res1I[[#This Row],[Level (m)]]&gt;0,Cleanup,0)+VLOOKUP(Res1I[[#This Row],[Level (m)]],Relocation[],3,FALSE)</calculatedColumnFormula>
    </tableColumn>
    <tableColumn id="7" xr3:uid="{00B87F36-5C64-4506-8279-77EC68095684}" name="Recommended" totalsRowFunction="count" dataDxfId="26">
      <calculatedColumnFormula array="1">AWE*Res1I[[#This Row],[Adjusted Damage Index]]*Inputs!$C$38*Inputs!F$30+IF(Res1I[[#This Row],[Level (m)]]&gt;0,Cleanup,0)+VLOOKUP(Res1I[[#This Row],[Level (m)]],Relocation[],3,FALSE)</calculatedColumnFormula>
    </tableColumn>
  </tableColumns>
  <tableStyleInfo name="TableStyleLight10" showFirstColumn="1" showLastColumn="0" showRowStripes="1" showColumnStripes="1"/>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0829B22-858E-493A-90F8-65BA3B3FDA9E}" name="Res2I" displayName="Res2I" ref="AG30:AM157" headerRowDxfId="25">
  <autoFilter ref="AG30:AM157" xr:uid="{BC27641F-5677-4D0A-A75A-B537ED397DA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A9BF232-E0BE-48B3-B692-B5251C441A87}" name="Level (m)" totalsRowLabel="Total" dataDxfId="24"/>
    <tableColumn id="2" xr3:uid="{C080EED5-DC96-4F24-AE9D-D564E815F0E8}" name="Damage Index" dataDxfId="23"/>
    <tableColumn id="3" xr3:uid="{6FCCB9B5-DD0F-4F94-98BA-CE0C8AA59BB5}" name="Adjusted Damage Index" dataDxfId="22">
      <calculatedColumnFormula>Res2I[[#This Row],[Damage Index]]*Inputs!$C$8</calculatedColumnFormula>
    </tableColumn>
    <tableColumn id="4" xr3:uid="{CF67761F-1616-4641-AA8E-4C77BD5F0691}" name="Small" dataDxfId="21">
      <calculatedColumnFormula array="1">AWE*Res2I[[#This Row],[Adjusted Damage Index]]*Inputs!$C$38*Inputs!C$31+IF(Res2I[[#This Row],[Level (m)]]&gt;0,Cleanup,0)+VLOOKUP(Res2I[[#This Row],[Level (m)]],Relocation[],3,FALSE)</calculatedColumnFormula>
    </tableColumn>
    <tableColumn id="5" xr3:uid="{70852991-476D-43E8-8269-2CC7D92E7C4F}" name="Medium" dataDxfId="20">
      <calculatedColumnFormula array="1">AWE*Res2I[[#This Row],[Adjusted Damage Index]]*Inputs!$C$38*Inputs!D$31+IF(Res2I[[#This Row],[Level (m)]]&gt;0,Cleanup,0)+VLOOKUP(Res2I[[#This Row],[Level (m)]],Relocation[],3,FALSE)</calculatedColumnFormula>
    </tableColumn>
    <tableColumn id="6" xr3:uid="{FBB63B6F-7B42-458F-A8EC-7F032533B709}" name="Large" dataDxfId="19">
      <calculatedColumnFormula array="1">AWE*Res2I[[#This Row],[Adjusted Damage Index]]*Inputs!$C$38*Inputs!E$31+IF(Res2I[[#This Row],[Level (m)]]&gt;0,Cleanup,0)+VLOOKUP(Res2I[[#This Row],[Level (m)]],Relocation[],3,FALSE)</calculatedColumnFormula>
    </tableColumn>
    <tableColumn id="7" xr3:uid="{29A2336C-1480-487E-9079-C793F4950B77}" name="Recommended" totalsRowFunction="count" dataDxfId="18">
      <calculatedColumnFormula array="1">AWE*Res2I[[#This Row],[Adjusted Damage Index]]*Inputs!$C$38*Inputs!F$31+IF(Res2I[[#This Row],[Level (m)]]&gt;0,Cleanup,0)+VLOOKUP(Res2I[[#This Row],[Level (m)]],Relocation[],3,FALSE)</calculatedColumnFormula>
    </tableColumn>
  </tableColumns>
  <tableStyleInfo name="TableStyleLight10" showFirstColumn="1" showLastColumn="0" showRowStripes="1" showColumnStripes="1"/>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523FFF2-BD4E-4DC7-8624-E858CE79D02F}" name="Com1S" displayName="Com1S" ref="E31:I118" totalsRowShown="0" headerRowDxfId="17" dataDxfId="15" headerRowBorderDxfId="16" tableBorderDxfId="14" headerRowCellStyle="Accent5">
  <autoFilter ref="E31:I118" xr:uid="{44446232-ED7E-4A6E-BB8D-2CFA05D42B85}"/>
  <tableColumns count="5">
    <tableColumn id="1" xr3:uid="{A0A1659F-AAF9-45DE-83A1-1EAE7F611E74}" name="Depth Above Floor Level (m)" dataDxfId="13"/>
    <tableColumn id="5" xr3:uid="{434550BA-7235-4A6E-BB0B-A56FA22490F8}" name="Public Buildings" dataDxfId="12">
      <calculatedColumnFormula array="1">F$30*(CPI*C32)+CPI*C32*(IndirectCom+Trading)</calculatedColumnFormula>
    </tableColumn>
    <tableColumn id="2" xr3:uid="{539E07E6-BD49-4071-B197-CE8CD21EC3D0}" name="Low to Medium" dataDxfId="11">
      <calculatedColumnFormula array="1">G$30*(CPI*C32)+CPI*C32*(IndirectCom+Trading)</calculatedColumnFormula>
    </tableColumn>
    <tableColumn id="3" xr3:uid="{26CD8607-981F-4047-AFC0-05314B0A71AC}" name="Default Average (CPI Adjusted)" dataDxfId="10">
      <calculatedColumnFormula array="1">H$30*(CPI*C32)+CPI*C32*(IndirectCom+Trading)</calculatedColumnFormula>
    </tableColumn>
    <tableColumn id="4" xr3:uid="{2A136685-37E6-4F88-825A-9E181BC23282}" name="Medium to High" dataDxfId="9">
      <calculatedColumnFormula array="1">I$30*(CPI*C32)+CPI*C32*(IndirectCom+Trading)</calculatedColumnFormula>
    </tableColumn>
  </tableColumns>
  <tableStyleInfo name="TableStyleLight13" showFirstColumn="1" showLastColumn="0" showRowStripes="1" showColumnStripes="1"/>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7FB3B70-59B8-43C4-8583-3952312B2792}" name="DetailedStructural" displayName="DetailedStructural" ref="BY18:CC48" headerRowDxfId="165" dataDxfId="164" totalsRowDxfId="163">
  <autoFilter ref="BY18:CC48" xr:uid="{C9E12558-4D1D-4BB4-92E7-E2E855A762E9}">
    <filterColumn colId="0" hiddenButton="1"/>
    <filterColumn colId="1" hiddenButton="1"/>
    <filterColumn colId="2" hiddenButton="1"/>
    <filterColumn colId="3" hiddenButton="1"/>
    <filterColumn colId="4" hiddenButton="1"/>
  </autoFilter>
  <tableColumns count="5">
    <tableColumn id="1" xr3:uid="{524DE93E-00F5-4B72-9B5B-51B28B7E7EF4}" name="AEP + Breakdown" dataDxfId="162"/>
    <tableColumn id="2" xr3:uid="{9F3627DE-5B85-45D8-8860-1B088F8BE89C}" name="Flooding Count" dataDxfId="161"/>
    <tableColumn id="3" xr3:uid="{280A84AC-588E-4BC3-8408-80593CCE8D7A}" name="Max Depth" dataDxfId="160"/>
    <tableColumn id="4" xr3:uid="{D411A216-CEF1-494A-9E80-485ECC1D0F57}" name="Total Damages" dataDxfId="159" dataCellStyle="Currency"/>
    <tableColumn id="5" xr3:uid="{FF862282-6950-4F8B-B41F-F4AD060958A3}" name="AAD per Property" dataDxfId="158" totalsRowDxfId="157"/>
  </tableColumns>
  <tableStyleInfo name="TableStyleLight13" showFirstColumn="1" showLastColumn="1"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F11C47D-CBBC-4712-9635-D307322F48F5}" name="Com1I" displayName="Com1I" ref="O31:S118" totalsRowShown="0" headerRowDxfId="8" dataDxfId="6" headerRowBorderDxfId="7" tableBorderDxfId="5" headerRowCellStyle="Accent5">
  <autoFilter ref="O31:S118" xr:uid="{7A324145-1DBC-4C56-BEE9-923C850C6E1A}"/>
  <tableColumns count="5">
    <tableColumn id="1" xr3:uid="{7C1BC8E5-1393-4ACE-BB11-F313C045A8E6}" name="Depth Above Floor Level (m)" dataDxfId="4"/>
    <tableColumn id="5" xr3:uid="{5A8BA654-C051-459D-AF24-05B169FD1E53}" name="Public Buildings" dataDxfId="3">
      <calculatedColumnFormula>Com1I[[#This Row],[Default Average]]*P$30</calculatedColumnFormula>
    </tableColumn>
    <tableColumn id="2" xr3:uid="{193D98BB-B270-408B-99A1-3EC28437F2EA}" name="Low to Medium" dataDxfId="2">
      <calculatedColumnFormula>Com1I[[#This Row],[Default Average]]*Q$30</calculatedColumnFormula>
    </tableColumn>
    <tableColumn id="3" xr3:uid="{070F9120-54AB-48EA-B131-79E162D7AB84}" name="Default Average" dataDxfId="1"/>
    <tableColumn id="4" xr3:uid="{42386B31-745B-4FEC-80D8-38415360FC12}" name="Medium to High" dataDxfId="0">
      <calculatedColumnFormula>Com1I[[#This Row],[Default Average]]*S$30</calculatedColumnFormula>
    </tableColumn>
  </tableColumns>
  <tableStyleInfo name="TableStyleLight13" showFirstColumn="1" showLastColumn="0" showRowStripes="1" showColumnStripes="1"/>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23E3C5F-E371-4BB0-AA6A-5F722E48EBD0}" name="DetailedExternal" displayName="DetailedExternal" ref="CK18:CO48" headerRowDxfId="156" dataDxfId="155" totalsRowDxfId="154">
  <autoFilter ref="CK18:CO48" xr:uid="{8C3FB2A6-6E3A-4971-8F2C-73F0F94C45CA}">
    <filterColumn colId="0" hiddenButton="1"/>
    <filterColumn colId="1" hiddenButton="1"/>
    <filterColumn colId="2" hiddenButton="1"/>
    <filterColumn colId="3" hiddenButton="1"/>
    <filterColumn colId="4" hiddenButton="1"/>
  </autoFilter>
  <tableColumns count="5">
    <tableColumn id="1" xr3:uid="{E88235BF-28C1-4AEB-90BB-6DF205ABAC6F}" name="AEP + Breakdown" dataDxfId="153"/>
    <tableColumn id="2" xr3:uid="{C86C7D07-D8F9-4032-A5AD-98497A64F631}" name="Flooding Count" dataDxfId="152"/>
    <tableColumn id="3" xr3:uid="{D2D2270C-D266-44A8-8199-AC1D5EA1020D}" name="Max Depth" dataDxfId="151"/>
    <tableColumn id="4" xr3:uid="{809DCB0C-1EEF-4A87-8C97-14EBF62E22C9}" name="Total Damages" dataDxfId="150" dataCellStyle="Currency"/>
    <tableColumn id="5" xr3:uid="{FB2297A2-F8ED-45CA-828D-042880F16D14}" name="AAD per Property" dataDxfId="149" dataCellStyle="Currency"/>
  </tableColumns>
  <tableStyleInfo name="TableStyleLight1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266B1D3-3F81-4633-A1BD-2D8AEC165E46}" name="SummaryStructural" displayName="SummaryStructural" ref="BY5:CC15" headerRowDxfId="148" dataDxfId="147" totalsRowDxfId="146">
  <autoFilter ref="BY5:CC15" xr:uid="{34D3F0B1-8689-4803-A1F6-2CFBCD8B975F}">
    <filterColumn colId="0" hiddenButton="1"/>
    <filterColumn colId="1" hiddenButton="1"/>
    <filterColumn colId="2" hiddenButton="1"/>
    <filterColumn colId="3" hiddenButton="1"/>
    <filterColumn colId="4" hiddenButton="1"/>
  </autoFilter>
  <tableColumns count="5">
    <tableColumn id="1" xr3:uid="{90640FC3-C1D9-4EA9-A005-71E15DCEA580}" name="AEP" totalsRowLabel="Total" dataDxfId="145" totalsRowDxfId="144"/>
    <tableColumn id="2" xr3:uid="{05586AFE-6256-45D1-ACDE-34467DC86D6E}" name="Over Floor Flooding" dataDxfId="143" totalsRowDxfId="142"/>
    <tableColumn id="3" xr3:uid="{64E7CF2F-5FCF-439E-B167-9E518C3F54F2}" name="Max Over Floor Depth (m)" dataDxfId="141" totalsRowDxfId="140"/>
    <tableColumn id="7" xr3:uid="{7F5F68E1-0E5C-4C32-80EB-9D10D219457A}" name="Avg Over Floor Depth (m)" dataDxfId="139"/>
    <tableColumn id="5" xr3:uid="{DF501368-0CE4-433F-B567-B8B33EC45976}" name="Total Damages " dataDxfId="138"/>
  </tableColumns>
  <tableStyleInfo name="TableStyleLight13"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D57FF40-B642-45B4-953A-737B2E2E4B66}" name="SummaryExternal" displayName="SummaryExternal" ref="CK5:CO15" totalsRowShown="0" headerRowDxfId="137" dataDxfId="136" tableBorderDxfId="135">
  <autoFilter ref="CK5:CO15" xr:uid="{B06DABFF-8D9C-4502-90FC-25B7CACB73A1}">
    <filterColumn colId="0" hiddenButton="1"/>
    <filterColumn colId="1" hiddenButton="1"/>
    <filterColumn colId="2" hiddenButton="1"/>
    <filterColumn colId="3" hiddenButton="1"/>
    <filterColumn colId="4" hiddenButton="1"/>
  </autoFilter>
  <tableColumns count="5">
    <tableColumn id="1" xr3:uid="{C7E69187-4C92-4F3F-A9A6-615E851B6D19}" name="AEP" dataDxfId="134"/>
    <tableColumn id="2" xr3:uid="{459F8916-B526-4FFD-85C7-5324A3D3D1E7}" name="Over Ground Flooding" dataDxfId="133"/>
    <tableColumn id="3" xr3:uid="{0BD460E6-EE0E-4B47-8A99-AE304FFBA077}" name="Max Over Ground Depth (m)" dataDxfId="132"/>
    <tableColumn id="4" xr3:uid="{F33A2F47-F391-49CD-ACE6-B7083D8B2880}" name="Avg Above Ground Depth (m)" dataDxfId="131"/>
    <tableColumn id="5" xr3:uid="{8F6064B4-97CB-4895-ADD2-68BCB50C0F53}" name="Total Damages" dataDxfId="130"/>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6673E52-9AD7-4CF2-8E72-F1F846C979E9}" name="DetailedInternal" displayName="DetailedInternal" ref="CE18:CI48" headerRowDxfId="129" dataDxfId="128" totalsRowDxfId="127">
  <autoFilter ref="CE18:CI48" xr:uid="{9A4A5581-6FD6-4157-845D-06E19848B424}">
    <filterColumn colId="0" hiddenButton="1"/>
    <filterColumn colId="1" hiddenButton="1"/>
    <filterColumn colId="2" hiddenButton="1"/>
    <filterColumn colId="3" hiddenButton="1"/>
    <filterColumn colId="4" hiddenButton="1"/>
  </autoFilter>
  <tableColumns count="5">
    <tableColumn id="1" xr3:uid="{1E62F2DA-438D-430F-A495-1FAA9D7A9698}" name="AEP + Breakdown" dataDxfId="126"/>
    <tableColumn id="2" xr3:uid="{CCC877EB-2C17-43FE-9B5F-3A7B34536135}" name="Flooding Count" dataDxfId="125"/>
    <tableColumn id="3" xr3:uid="{8D68549F-F83F-4D4F-AAEA-2707D226876C}" name="Max Depth" dataDxfId="124"/>
    <tableColumn id="4" xr3:uid="{AEA99DCB-F8CC-4070-BF10-5F61803FC62F}" name="Total Damages" dataDxfId="123" dataCellStyle="Currency"/>
    <tableColumn id="5" xr3:uid="{01A4E612-C6E4-44BD-9AE0-DB444838DBA2}" name="AAD per Property" dataDxfId="122" totalsRowDxfId="121" dataCellStyle="Currency"/>
  </tableColumns>
  <tableStyleInfo name="TableStyleLight13"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3920402-1370-4EFF-9131-7F80C87F77D0}" name="SummaryInternal" displayName="SummaryInternal" ref="CE5:CI15" headerRowDxfId="120" dataDxfId="119" totalsRowDxfId="118">
  <autoFilter ref="CE5:CI15" xr:uid="{1794E538-FFA3-4627-937D-387F29676651}">
    <filterColumn colId="0" hiddenButton="1"/>
    <filterColumn colId="1" hiddenButton="1"/>
    <filterColumn colId="2" hiddenButton="1"/>
    <filterColumn colId="3" hiddenButton="1"/>
    <filterColumn colId="4" hiddenButton="1"/>
  </autoFilter>
  <tableColumns count="5">
    <tableColumn id="1" xr3:uid="{86E04109-6228-4C35-927F-58C96C6AA10A}" name="AEP" totalsRowLabel="Total" dataDxfId="117" totalsRowDxfId="116"/>
    <tableColumn id="2" xr3:uid="{2E9F4164-0819-4A87-9440-87F313608217}" name="Over Floor Flooding" dataDxfId="115" totalsRowDxfId="114"/>
    <tableColumn id="3" xr3:uid="{B764B6CA-F6C1-42C7-8DE5-278E43AAF97E}" name="Max Over Floor Depth (m)" dataDxfId="113" totalsRowDxfId="112"/>
    <tableColumn id="7" xr3:uid="{C99AD923-66AF-47B5-B056-A38D5BB51F37}" name="Avg Over Floor Depth (m)" dataDxfId="111"/>
    <tableColumn id="5" xr3:uid="{E342244B-ED78-497B-9F25-D73E3B4BA73E}" name="Total Damages " dataDxfId="110"/>
  </tableColumns>
  <tableStyleInfo name="TableStyleLight13"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44DAB50-CE1B-47B1-A933-1BF421957E12}" name="DetailedRiskToLife" displayName="DetailedRiskToLife" ref="CQ18:CU48" headerRowDxfId="109" dataDxfId="108" totalsRowDxfId="107">
  <autoFilter ref="CQ18:CU48" xr:uid="{C1578476-76F6-4BF2-8603-56DA55C5D5A3}">
    <filterColumn colId="0" hiddenButton="1"/>
    <filterColumn colId="1" hiddenButton="1"/>
    <filterColumn colId="2" hiddenButton="1"/>
    <filterColumn colId="3" hiddenButton="1"/>
    <filterColumn colId="4" hiddenButton="1"/>
  </autoFilter>
  <tableColumns count="5">
    <tableColumn id="1" xr3:uid="{1EA57815-60A2-4563-83B6-2D208E28322D}" name="AEP + Breakdown" dataDxfId="106"/>
    <tableColumn id="2" xr3:uid="{857A4ECD-A1A3-482F-AB9A-5114E55D2EB3}" name="Flooding Count" dataDxfId="105"/>
    <tableColumn id="3" xr3:uid="{84B1198A-95BE-48D2-A590-6666243CDC87}" name="Max Depth" dataDxfId="104"/>
    <tableColumn id="4" xr3:uid="{9FBE8DCC-60EC-4251-B5A8-C8E78DAE49A2}" name="Total Damages" dataDxfId="103" dataCellStyle="Currency"/>
    <tableColumn id="5" xr3:uid="{C24F60A9-BB8F-4C1D-9047-D31285CD3053}" name="AAD per Property" dataDxfId="102" dataCellStyle="Currency"/>
  </tableColumns>
  <tableStyleInfo name="TableStyleLight13"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FAD1CD5-C161-452D-A844-DFA0F212F186}" name="SummaryRiskToLife" displayName="SummaryRiskToLife" ref="CQ5:CU15" totalsRowShown="0" headerRowDxfId="101" dataDxfId="100" tableBorderDxfId="99">
  <autoFilter ref="CQ5:CU15" xr:uid="{0FFF4B1B-906C-473E-84CC-0E14B6E84EF1}">
    <filterColumn colId="0" hiddenButton="1"/>
    <filterColumn colId="1" hiddenButton="1"/>
    <filterColumn colId="2" hiddenButton="1"/>
    <filterColumn colId="3" hiddenButton="1"/>
    <filterColumn colId="4" hiddenButton="1"/>
  </autoFilter>
  <tableColumns count="5">
    <tableColumn id="1" xr3:uid="{0DBEC7CF-4CAA-4BC1-938D-DED37016C1FA}" name="AEP" dataDxfId="98"/>
    <tableColumn id="2" xr3:uid="{DAF76A1B-15CB-45DB-879D-5C019D97DB0A}" name="Over Ground Flooding" dataDxfId="97"/>
    <tableColumn id="3" xr3:uid="{D3E70248-DC78-4712-990A-DFE1EEB5D85A}" name="Max Over Ground Depth (m)" dataDxfId="96"/>
    <tableColumn id="4" xr3:uid="{998CE33B-02B1-43CA-995D-D9BFD276419D}" name="Avg Over Floor Depth (m)" dataDxfId="95"/>
    <tableColumn id="5" xr3:uid="{D0204577-150E-49D5-B8FD-71C611B74217}" name="Total Damages " dataDxfId="94"/>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Rhelm EA">
      <a:dk1>
        <a:srgbClr val="262626"/>
      </a:dk1>
      <a:lt1>
        <a:sysClr val="window" lastClr="FFFFFF"/>
      </a:lt1>
      <a:dk2>
        <a:srgbClr val="686766"/>
      </a:dk2>
      <a:lt2>
        <a:srgbClr val="FFFFFF"/>
      </a:lt2>
      <a:accent1>
        <a:srgbClr val="403F6F"/>
      </a:accent1>
      <a:accent2>
        <a:srgbClr val="9B2336"/>
      </a:accent2>
      <a:accent3>
        <a:srgbClr val="686766"/>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8.xml"/><Relationship Id="rId1" Type="http://schemas.openxmlformats.org/officeDocument/2006/relationships/printerSettings" Target="../printerSettings/printerSettings11.bin"/><Relationship Id="rId5" Type="http://schemas.openxmlformats.org/officeDocument/2006/relationships/table" Target="../tables/table14.xml"/><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table" Target="../tables/table18.xml"/><Relationship Id="rId5" Type="http://schemas.openxmlformats.org/officeDocument/2006/relationships/table" Target="../tables/table17.xml"/><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table" Target="../tables/table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abs.gov.au/statistics/labour/earnings-and-work-hours/average-weekly-earnings-australia/latest-release" TargetMode="External"/><Relationship Id="rId1" Type="http://schemas.openxmlformats.org/officeDocument/2006/relationships/hyperlink" Target="https://www.abs.gov.au/statistics/economy/price-indexes-and-inflation/consumer-price-index-australia/latest-releas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abs.gov.au/statistics/health/disability/disability-ageing-and-carers-australia-summary-findings/latest-release"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comments" Target="../comments1.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62006-3773-4338-AEC2-407B4EBFD283}">
  <sheetPr>
    <tabColor rgb="FFC00000"/>
    <pageSetUpPr fitToPage="1"/>
  </sheetPr>
  <dimension ref="A1:E37"/>
  <sheetViews>
    <sheetView tabSelected="1" zoomScale="85" zoomScaleNormal="85" workbookViewId="0">
      <selection activeCell="D12" sqref="D12:D13"/>
    </sheetView>
  </sheetViews>
  <sheetFormatPr defaultRowHeight="14.4" x14ac:dyDescent="0.3"/>
  <cols>
    <col min="1" max="1" width="3" customWidth="1"/>
    <col min="2" max="2" width="13.21875" customWidth="1"/>
    <col min="3" max="3" width="23.77734375" customWidth="1"/>
    <col min="4" max="4" width="61.77734375" customWidth="1"/>
    <col min="5" max="5" width="3" customWidth="1"/>
  </cols>
  <sheetData>
    <row r="1" spans="1:5" ht="15" thickBot="1" x14ac:dyDescent="0.35">
      <c r="A1" s="5"/>
      <c r="B1" s="6"/>
      <c r="C1" s="6"/>
      <c r="D1" s="6"/>
      <c r="E1" s="7"/>
    </row>
    <row r="2" spans="1:5" ht="24" thickBot="1" x14ac:dyDescent="0.5">
      <c r="A2" s="8"/>
      <c r="B2" s="553" t="s">
        <v>381</v>
      </c>
      <c r="C2" s="554"/>
      <c r="D2" s="555"/>
      <c r="E2" s="9"/>
    </row>
    <row r="3" spans="1:5" x14ac:dyDescent="0.3">
      <c r="A3" s="8"/>
      <c r="B3" s="11"/>
      <c r="C3" s="11"/>
      <c r="D3" s="11"/>
      <c r="E3" s="9"/>
    </row>
    <row r="4" spans="1:5" ht="14.55" customHeight="1" x14ac:dyDescent="0.3">
      <c r="A4" s="8"/>
      <c r="B4" s="556" t="s">
        <v>548</v>
      </c>
      <c r="C4" s="556"/>
      <c r="D4" s="556"/>
      <c r="E4" s="9"/>
    </row>
    <row r="5" spans="1:5" x14ac:dyDescent="0.3">
      <c r="A5" s="8"/>
      <c r="B5" s="556"/>
      <c r="C5" s="556"/>
      <c r="D5" s="556"/>
      <c r="E5" s="9"/>
    </row>
    <row r="6" spans="1:5" x14ac:dyDescent="0.3">
      <c r="A6" s="8"/>
      <c r="B6" s="556"/>
      <c r="C6" s="556"/>
      <c r="D6" s="556"/>
      <c r="E6" s="9"/>
    </row>
    <row r="7" spans="1:5" ht="15" customHeight="1" thickBot="1" x14ac:dyDescent="0.35">
      <c r="A7" s="8"/>
      <c r="B7" s="11"/>
      <c r="C7" s="11"/>
      <c r="D7" s="11"/>
      <c r="E7" s="9"/>
    </row>
    <row r="8" spans="1:5" ht="30.6" customHeight="1" thickBot="1" x14ac:dyDescent="0.35">
      <c r="A8" s="8"/>
      <c r="B8" s="569" t="s">
        <v>549</v>
      </c>
      <c r="C8" s="570"/>
      <c r="D8" s="571"/>
      <c r="E8" s="9"/>
    </row>
    <row r="9" spans="1:5" ht="15" customHeight="1" thickBot="1" x14ac:dyDescent="0.35">
      <c r="A9" s="8"/>
      <c r="B9" s="11"/>
      <c r="C9" s="11"/>
      <c r="D9" s="11"/>
      <c r="E9" s="9"/>
    </row>
    <row r="10" spans="1:5" ht="114" customHeight="1" thickBot="1" x14ac:dyDescent="0.35">
      <c r="A10" s="8"/>
      <c r="B10" s="566" t="s">
        <v>382</v>
      </c>
      <c r="C10" s="567"/>
      <c r="D10" s="568"/>
      <c r="E10" s="9"/>
    </row>
    <row r="11" spans="1:5" ht="15" thickBot="1" x14ac:dyDescent="0.35">
      <c r="A11" s="8"/>
      <c r="B11" s="11"/>
      <c r="C11" s="11"/>
      <c r="D11" s="11"/>
      <c r="E11" s="9"/>
    </row>
    <row r="12" spans="1:5" x14ac:dyDescent="0.3">
      <c r="A12" s="8"/>
      <c r="B12" s="178" t="s">
        <v>168</v>
      </c>
      <c r="C12" s="541"/>
      <c r="D12" s="542"/>
      <c r="E12" s="9"/>
    </row>
    <row r="13" spans="1:5" x14ac:dyDescent="0.3">
      <c r="A13" s="8"/>
      <c r="B13" s="8"/>
      <c r="C13" s="11"/>
      <c r="D13" s="9"/>
      <c r="E13" s="9"/>
    </row>
    <row r="14" spans="1:5" x14ac:dyDescent="0.3">
      <c r="A14" s="8"/>
      <c r="B14" s="545" t="s">
        <v>169</v>
      </c>
      <c r="C14" s="378" t="s">
        <v>170</v>
      </c>
      <c r="D14" s="546" t="s">
        <v>176</v>
      </c>
      <c r="E14" s="9"/>
    </row>
    <row r="15" spans="1:5" ht="28.8" x14ac:dyDescent="0.3">
      <c r="A15" s="8"/>
      <c r="B15" s="547">
        <v>1</v>
      </c>
      <c r="C15" s="271" t="s">
        <v>171</v>
      </c>
      <c r="D15" s="548" t="s">
        <v>235</v>
      </c>
      <c r="E15" s="9"/>
    </row>
    <row r="16" spans="1:5" ht="28.8" x14ac:dyDescent="0.3">
      <c r="A16" s="8"/>
      <c r="B16" s="547">
        <v>2</v>
      </c>
      <c r="C16" s="271" t="s">
        <v>9</v>
      </c>
      <c r="D16" s="548" t="s">
        <v>237</v>
      </c>
      <c r="E16" s="9"/>
    </row>
    <row r="17" spans="1:5" ht="28.8" x14ac:dyDescent="0.3">
      <c r="A17" s="8"/>
      <c r="B17" s="547">
        <v>3</v>
      </c>
      <c r="C17" s="271" t="s">
        <v>25</v>
      </c>
      <c r="D17" s="548" t="s">
        <v>294</v>
      </c>
      <c r="E17" s="9"/>
    </row>
    <row r="18" spans="1:5" ht="28.8" x14ac:dyDescent="0.3">
      <c r="A18" s="8"/>
      <c r="B18" s="547">
        <v>4</v>
      </c>
      <c r="C18" s="271" t="s">
        <v>172</v>
      </c>
      <c r="D18" s="548" t="s">
        <v>236</v>
      </c>
      <c r="E18" s="9"/>
    </row>
    <row r="19" spans="1:5" ht="43.2" x14ac:dyDescent="0.3">
      <c r="A19" s="8"/>
      <c r="B19" s="547">
        <v>5</v>
      </c>
      <c r="C19" s="271" t="s">
        <v>149</v>
      </c>
      <c r="D19" s="548" t="s">
        <v>228</v>
      </c>
      <c r="E19" s="9"/>
    </row>
    <row r="20" spans="1:5" x14ac:dyDescent="0.3">
      <c r="A20" s="8"/>
      <c r="B20" s="547">
        <v>6</v>
      </c>
      <c r="C20" s="271" t="s">
        <v>234</v>
      </c>
      <c r="D20" s="548" t="s">
        <v>238</v>
      </c>
      <c r="E20" s="9"/>
    </row>
    <row r="21" spans="1:5" x14ac:dyDescent="0.3">
      <c r="A21" s="8"/>
      <c r="B21" s="547">
        <v>7</v>
      </c>
      <c r="C21" s="271" t="s">
        <v>311</v>
      </c>
      <c r="D21" s="548" t="s">
        <v>312</v>
      </c>
      <c r="E21" s="9"/>
    </row>
    <row r="22" spans="1:5" ht="57.6" x14ac:dyDescent="0.3">
      <c r="A22" s="8"/>
      <c r="B22" s="547">
        <v>8</v>
      </c>
      <c r="C22" s="271" t="s">
        <v>82</v>
      </c>
      <c r="D22" s="548" t="s">
        <v>180</v>
      </c>
      <c r="E22" s="9"/>
    </row>
    <row r="23" spans="1:5" ht="28.8" x14ac:dyDescent="0.3">
      <c r="A23" s="8"/>
      <c r="B23" s="547">
        <v>9</v>
      </c>
      <c r="C23" s="271" t="s">
        <v>175</v>
      </c>
      <c r="D23" s="548" t="s">
        <v>239</v>
      </c>
      <c r="E23" s="9"/>
    </row>
    <row r="24" spans="1:5" ht="28.8" x14ac:dyDescent="0.3">
      <c r="A24" s="8"/>
      <c r="B24" s="547">
        <v>10</v>
      </c>
      <c r="C24" s="271" t="s">
        <v>318</v>
      </c>
      <c r="D24" s="548" t="s">
        <v>319</v>
      </c>
      <c r="E24" s="9"/>
    </row>
    <row r="25" spans="1:5" ht="28.8" x14ac:dyDescent="0.3">
      <c r="A25" s="8"/>
      <c r="B25" s="549" t="s">
        <v>316</v>
      </c>
      <c r="C25" s="271" t="s">
        <v>281</v>
      </c>
      <c r="D25" s="548" t="s">
        <v>376</v>
      </c>
      <c r="E25" s="9"/>
    </row>
    <row r="26" spans="1:5" ht="46.8" customHeight="1" x14ac:dyDescent="0.3">
      <c r="A26" s="8"/>
      <c r="B26" s="549" t="s">
        <v>317</v>
      </c>
      <c r="C26" s="271" t="s">
        <v>173</v>
      </c>
      <c r="D26" s="548" t="s">
        <v>377</v>
      </c>
      <c r="E26" s="9"/>
    </row>
    <row r="27" spans="1:5" ht="29.4" thickBot="1" x14ac:dyDescent="0.35">
      <c r="A27" s="8"/>
      <c r="B27" s="550" t="s">
        <v>320</v>
      </c>
      <c r="C27" s="551" t="s">
        <v>174</v>
      </c>
      <c r="D27" s="552" t="s">
        <v>378</v>
      </c>
      <c r="E27" s="9"/>
    </row>
    <row r="28" spans="1:5" ht="15" thickBot="1" x14ac:dyDescent="0.35">
      <c r="A28" s="8"/>
      <c r="B28" s="11"/>
      <c r="C28" s="11"/>
      <c r="D28" s="11"/>
      <c r="E28" s="9"/>
    </row>
    <row r="29" spans="1:5" x14ac:dyDescent="0.3">
      <c r="A29" s="8"/>
      <c r="B29" s="178" t="s">
        <v>208</v>
      </c>
      <c r="C29" s="541"/>
      <c r="D29" s="542"/>
      <c r="E29" s="9"/>
    </row>
    <row r="30" spans="1:5" ht="154.94999999999999" customHeight="1" x14ac:dyDescent="0.3">
      <c r="A30" s="8"/>
      <c r="B30" s="557" t="s">
        <v>341</v>
      </c>
      <c r="C30" s="558"/>
      <c r="D30" s="559"/>
      <c r="E30" s="9"/>
    </row>
    <row r="31" spans="1:5" x14ac:dyDescent="0.3">
      <c r="A31" s="8"/>
      <c r="B31" s="543" t="s">
        <v>267</v>
      </c>
      <c r="C31" s="153"/>
      <c r="D31" s="544"/>
      <c r="E31" s="9"/>
    </row>
    <row r="32" spans="1:5" ht="14.7" customHeight="1" x14ac:dyDescent="0.3">
      <c r="A32" s="8"/>
      <c r="B32" s="560" t="s">
        <v>268</v>
      </c>
      <c r="C32" s="561"/>
      <c r="D32" s="562"/>
      <c r="E32" s="9"/>
    </row>
    <row r="33" spans="1:5" x14ac:dyDescent="0.3">
      <c r="A33" s="8"/>
      <c r="B33" s="560"/>
      <c r="C33" s="561"/>
      <c r="D33" s="562"/>
      <c r="E33" s="9"/>
    </row>
    <row r="34" spans="1:5" x14ac:dyDescent="0.3">
      <c r="A34" s="8"/>
      <c r="B34" s="560"/>
      <c r="C34" s="561"/>
      <c r="D34" s="562"/>
      <c r="E34" s="9"/>
    </row>
    <row r="35" spans="1:5" ht="15" thickBot="1" x14ac:dyDescent="0.35">
      <c r="A35" s="8"/>
      <c r="B35" s="563"/>
      <c r="C35" s="564"/>
      <c r="D35" s="565"/>
      <c r="E35" s="9"/>
    </row>
    <row r="36" spans="1:5" x14ac:dyDescent="0.3">
      <c r="A36" s="8"/>
      <c r="B36" s="315"/>
      <c r="C36" s="315"/>
      <c r="D36" s="315"/>
      <c r="E36" s="9"/>
    </row>
    <row r="37" spans="1:5" ht="15" thickBot="1" x14ac:dyDescent="0.35">
      <c r="A37" s="12"/>
      <c r="B37" s="236"/>
      <c r="C37" s="237"/>
      <c r="D37" s="237"/>
      <c r="E37" s="14"/>
    </row>
  </sheetData>
  <sheetProtection algorithmName="SHA-512" hashValue="DGL8dR3sgwam0fTM7d30EeCi++aoAH1Ga1vKEFtpodORuaPf1yAfRTA2q2Jgq0L50JJrP3OU/Qjr0Zxjy6py1w==" saltValue="C1W8QUY27PH9gSUX7rKIQg==" spinCount="100000" sheet="1" objects="1" scenarios="1"/>
  <mergeCells count="6">
    <mergeCell ref="B2:D2"/>
    <mergeCell ref="B4:D6"/>
    <mergeCell ref="B30:D30"/>
    <mergeCell ref="B32:D35"/>
    <mergeCell ref="B10:D10"/>
    <mergeCell ref="B8:D8"/>
  </mergeCells>
  <pageMargins left="0.23622047244094491" right="0.23622047244094491" top="0.74803149606299213" bottom="0.74803149606299213" header="0.31496062992125984" footer="0.31496062992125984"/>
  <pageSetup paperSize="9" scale="71" orientation="portrait" horizontalDpi="1200" verticalDpi="1200" r:id="rId1"/>
  <headerFooter>
    <oddHeader>&amp;CDraft Undergoing Refinement and Testing</oddHeader>
    <oddFooter>&amp;L&amp;"-,Italic"&amp;9&amp;K07-048&amp;Z&amp;F
&amp;R&amp;"-,Italic"&amp;K03+000Page &amp;P of &amp;N</oddFooter>
  </headerFooter>
  <colBreaks count="1" manualBreakCount="1">
    <brk id="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FBEAE-3855-4CC8-B346-106148098A17}">
  <sheetPr>
    <tabColor theme="4" tint="0.59999389629810485"/>
    <pageSetUpPr fitToPage="1"/>
  </sheetPr>
  <dimension ref="A1:AJ53"/>
  <sheetViews>
    <sheetView zoomScale="85" zoomScaleNormal="85" workbookViewId="0">
      <selection activeCell="J6" sqref="J6"/>
    </sheetView>
  </sheetViews>
  <sheetFormatPr defaultRowHeight="14.4" x14ac:dyDescent="0.3"/>
  <cols>
    <col min="1" max="1" width="3" customWidth="1"/>
    <col min="2" max="2" width="8.5546875" customWidth="1"/>
    <col min="3" max="7" width="13.21875" customWidth="1"/>
    <col min="8" max="9" width="3.77734375" customWidth="1"/>
    <col min="10" max="10" width="9" customWidth="1"/>
    <col min="11" max="11" width="17" customWidth="1"/>
    <col min="12" max="12" width="13.109375" customWidth="1"/>
    <col min="13" max="14" width="11.44140625" customWidth="1"/>
    <col min="15" max="15" width="14.6640625" customWidth="1"/>
    <col min="16" max="16" width="4.5546875" customWidth="1"/>
    <col min="17" max="17" width="12.88671875" bestFit="1" customWidth="1"/>
    <col min="18" max="18" width="10.77734375" customWidth="1"/>
    <col min="19" max="19" width="11.77734375" customWidth="1"/>
    <col min="20" max="20" width="14.109375" customWidth="1"/>
    <col min="21" max="22" width="3" customWidth="1"/>
    <col min="23" max="23" width="16.21875" bestFit="1" customWidth="1"/>
    <col min="24" max="24" width="15.44140625" customWidth="1"/>
    <col min="25" max="25" width="13.77734375" customWidth="1"/>
    <col min="26" max="26" width="16.77734375" customWidth="1"/>
    <col min="27" max="27" width="13.21875" bestFit="1" customWidth="1"/>
    <col min="28" max="28" width="10.44140625" customWidth="1"/>
    <col min="29" max="29" width="10.5546875" bestFit="1" customWidth="1"/>
    <col min="30" max="30" width="12.5546875" customWidth="1"/>
    <col min="31" max="31" width="14.21875" customWidth="1"/>
    <col min="32" max="32" width="10.77734375" customWidth="1"/>
    <col min="33" max="33" width="8.109375" bestFit="1" customWidth="1"/>
    <col min="36" max="36" width="2.77734375" customWidth="1"/>
  </cols>
  <sheetData>
    <row r="1" spans="1:36" ht="15" thickBot="1" x14ac:dyDescent="0.35">
      <c r="A1" s="5"/>
      <c r="B1" s="6"/>
      <c r="C1" s="6"/>
      <c r="D1" s="6"/>
      <c r="E1" s="6"/>
      <c r="F1" s="6"/>
      <c r="G1" s="6"/>
      <c r="H1" s="6"/>
      <c r="I1" s="6"/>
      <c r="J1" s="6"/>
      <c r="K1" s="6"/>
      <c r="L1" s="6"/>
      <c r="M1" s="6"/>
      <c r="N1" s="6"/>
      <c r="O1" s="6"/>
      <c r="P1" s="6"/>
      <c r="Q1" s="6"/>
      <c r="R1" s="6"/>
      <c r="S1" s="6"/>
      <c r="T1" s="6"/>
      <c r="U1" s="7"/>
      <c r="V1" s="8"/>
      <c r="W1" s="11"/>
      <c r="X1" s="11"/>
      <c r="Y1" s="11"/>
      <c r="Z1" s="11"/>
      <c r="AA1" s="11"/>
      <c r="AB1" s="11"/>
      <c r="AC1" s="11"/>
      <c r="AD1" s="11"/>
      <c r="AE1" s="11"/>
      <c r="AF1" s="11"/>
      <c r="AG1" s="11"/>
      <c r="AH1" s="11"/>
      <c r="AI1" s="11"/>
      <c r="AJ1" s="9"/>
    </row>
    <row r="2" spans="1:36" ht="24" thickBot="1" x14ac:dyDescent="0.5">
      <c r="A2" s="8"/>
      <c r="B2" s="553" t="s">
        <v>307</v>
      </c>
      <c r="C2" s="554"/>
      <c r="D2" s="554"/>
      <c r="E2" s="554"/>
      <c r="F2" s="554"/>
      <c r="G2" s="554"/>
      <c r="H2" s="554"/>
      <c r="I2" s="554"/>
      <c r="J2" s="554"/>
      <c r="K2" s="554"/>
      <c r="L2" s="554"/>
      <c r="M2" s="554"/>
      <c r="N2" s="554"/>
      <c r="O2" s="554"/>
      <c r="P2" s="554"/>
      <c r="Q2" s="554"/>
      <c r="R2" s="554"/>
      <c r="S2" s="554"/>
      <c r="T2" s="555"/>
      <c r="U2" s="9"/>
      <c r="V2" s="8"/>
      <c r="W2" s="553" t="s">
        <v>423</v>
      </c>
      <c r="X2" s="554"/>
      <c r="Y2" s="554"/>
      <c r="Z2" s="554"/>
      <c r="AA2" s="554"/>
      <c r="AB2" s="554"/>
      <c r="AC2" s="554"/>
      <c r="AD2" s="554"/>
      <c r="AE2" s="554"/>
      <c r="AF2" s="554"/>
      <c r="AG2" s="554"/>
      <c r="AH2" s="554"/>
      <c r="AI2" s="555"/>
      <c r="AJ2" s="9"/>
    </row>
    <row r="3" spans="1:36" ht="15" customHeight="1" x14ac:dyDescent="0.3">
      <c r="A3" s="156"/>
      <c r="B3" s="718" t="s">
        <v>421</v>
      </c>
      <c r="C3" s="718"/>
      <c r="D3" s="718"/>
      <c r="E3" s="158"/>
      <c r="F3" s="158"/>
      <c r="G3" s="158"/>
      <c r="H3" s="158"/>
      <c r="I3" s="158"/>
      <c r="J3" s="158"/>
      <c r="K3" s="158"/>
      <c r="L3" s="158"/>
      <c r="M3" s="158"/>
      <c r="N3" s="158"/>
      <c r="O3" s="158"/>
      <c r="P3" s="158"/>
      <c r="Q3" s="158"/>
      <c r="R3" s="158"/>
      <c r="S3" s="158"/>
      <c r="T3" s="158"/>
      <c r="U3" s="159"/>
      <c r="V3" s="8"/>
      <c r="W3" s="718" t="s">
        <v>424</v>
      </c>
      <c r="X3" s="718"/>
      <c r="Y3" s="718"/>
      <c r="Z3" s="718"/>
      <c r="AA3" s="718"/>
      <c r="AB3" s="718"/>
      <c r="AC3" s="718"/>
      <c r="AD3" s="718"/>
      <c r="AE3" s="718"/>
      <c r="AF3" s="718"/>
      <c r="AG3" s="718"/>
      <c r="AH3" s="718"/>
      <c r="AI3" s="718"/>
      <c r="AJ3" s="9"/>
    </row>
    <row r="4" spans="1:36" ht="15" customHeight="1" x14ac:dyDescent="0.3">
      <c r="A4" s="156"/>
      <c r="E4" s="158"/>
      <c r="F4" s="158"/>
      <c r="G4" s="158"/>
      <c r="H4" s="158"/>
      <c r="I4" s="158"/>
      <c r="J4" s="158"/>
      <c r="K4" s="158"/>
      <c r="L4" s="158"/>
      <c r="M4" s="158"/>
      <c r="N4" s="158"/>
      <c r="O4" s="158"/>
      <c r="P4" s="158"/>
      <c r="Q4" s="158"/>
      <c r="R4" s="158"/>
      <c r="S4" s="158"/>
      <c r="T4" s="158"/>
      <c r="U4" s="159"/>
      <c r="V4" s="8"/>
      <c r="W4" s="472" t="s">
        <v>544</v>
      </c>
      <c r="X4" s="471"/>
      <c r="Y4" s="471"/>
      <c r="Z4" s="471"/>
      <c r="AA4" s="471"/>
      <c r="AB4" s="471"/>
      <c r="AC4" s="471"/>
      <c r="AD4" s="471"/>
      <c r="AE4" s="471"/>
      <c r="AF4" s="471"/>
      <c r="AG4" s="471"/>
      <c r="AH4" s="471"/>
      <c r="AI4" s="471"/>
      <c r="AJ4" s="9"/>
    </row>
    <row r="5" spans="1:36" ht="15" customHeight="1" thickBot="1" x14ac:dyDescent="0.35">
      <c r="A5" s="156"/>
      <c r="E5" s="158"/>
      <c r="F5" s="158"/>
      <c r="G5" s="158"/>
      <c r="H5" s="158"/>
      <c r="I5" s="158"/>
      <c r="J5" s="158"/>
      <c r="K5" s="158"/>
      <c r="L5" s="158"/>
      <c r="M5" s="158"/>
      <c r="N5" s="158"/>
      <c r="O5" s="158"/>
      <c r="P5" s="158"/>
      <c r="Q5" s="158"/>
      <c r="R5" s="158"/>
      <c r="S5" s="158"/>
      <c r="T5" s="158"/>
      <c r="U5" s="159"/>
      <c r="V5" s="8"/>
      <c r="AJ5" s="9"/>
    </row>
    <row r="6" spans="1:36" ht="19.5" customHeight="1" thickBot="1" x14ac:dyDescent="0.35">
      <c r="A6" s="156"/>
      <c r="E6" s="158"/>
      <c r="F6" s="158"/>
      <c r="G6" s="158"/>
      <c r="H6" s="158"/>
      <c r="I6" s="158"/>
      <c r="J6" s="158"/>
      <c r="K6" s="158"/>
      <c r="L6" s="158"/>
      <c r="M6" s="158"/>
      <c r="N6" s="158"/>
      <c r="O6" s="158"/>
      <c r="P6" s="158"/>
      <c r="Q6" s="158"/>
      <c r="R6" s="158"/>
      <c r="S6" s="158"/>
      <c r="T6" s="158"/>
      <c r="U6" s="159"/>
      <c r="V6" s="8"/>
      <c r="W6" s="777" t="s">
        <v>425</v>
      </c>
      <c r="X6" s="778"/>
      <c r="Y6" s="778"/>
      <c r="Z6" s="778"/>
      <c r="AA6" s="778"/>
      <c r="AB6" s="778"/>
      <c r="AC6" s="778"/>
      <c r="AD6" s="778"/>
      <c r="AE6" s="778"/>
      <c r="AF6" s="778"/>
      <c r="AG6" s="779"/>
      <c r="AH6" s="11"/>
      <c r="AI6" s="11"/>
      <c r="AJ6" s="9"/>
    </row>
    <row r="7" spans="1:36" ht="15" thickBot="1" x14ac:dyDescent="0.35">
      <c r="A7" s="8"/>
      <c r="B7" s="11"/>
      <c r="C7" s="11"/>
      <c r="D7" s="11"/>
      <c r="E7" s="11"/>
      <c r="F7" s="11"/>
      <c r="G7" s="11"/>
      <c r="H7" s="11"/>
      <c r="I7" s="11"/>
      <c r="J7" s="11"/>
      <c r="K7" s="11"/>
      <c r="L7" s="11"/>
      <c r="M7" s="11"/>
      <c r="N7" s="11"/>
      <c r="O7" s="11"/>
      <c r="P7" s="11"/>
      <c r="Q7" s="11"/>
      <c r="R7" s="11"/>
      <c r="S7" s="11"/>
      <c r="T7" s="11"/>
      <c r="U7" s="9"/>
      <c r="V7" s="8"/>
      <c r="W7" s="782" t="s">
        <v>394</v>
      </c>
      <c r="X7" s="780" t="s">
        <v>396</v>
      </c>
      <c r="Y7" s="780" t="s">
        <v>397</v>
      </c>
      <c r="Z7" s="780" t="s">
        <v>545</v>
      </c>
      <c r="AA7" s="784" t="s">
        <v>395</v>
      </c>
      <c r="AB7" s="784"/>
      <c r="AC7" s="784"/>
      <c r="AD7" s="784"/>
      <c r="AE7" s="784"/>
      <c r="AF7" s="784"/>
      <c r="AG7" s="785"/>
      <c r="AH7" s="11"/>
      <c r="AI7" s="11"/>
      <c r="AJ7" s="9"/>
    </row>
    <row r="8" spans="1:36" ht="43.2" x14ac:dyDescent="0.3">
      <c r="A8" s="8"/>
      <c r="B8" s="130" t="s">
        <v>79</v>
      </c>
      <c r="C8" s="126" t="s">
        <v>305</v>
      </c>
      <c r="D8" s="126" t="s">
        <v>53</v>
      </c>
      <c r="E8" s="126" t="s">
        <v>116</v>
      </c>
      <c r="F8" s="126" t="s">
        <v>56</v>
      </c>
      <c r="G8" s="126" t="s">
        <v>285</v>
      </c>
      <c r="H8" s="11"/>
      <c r="I8" s="11"/>
      <c r="J8" s="130" t="s">
        <v>79</v>
      </c>
      <c r="K8" s="127" t="s">
        <v>306</v>
      </c>
      <c r="L8" s="127" t="str">
        <f>D8</f>
        <v>Structural</v>
      </c>
      <c r="M8" s="127" t="str">
        <f>E8</f>
        <v>Internal</v>
      </c>
      <c r="N8" s="127" t="str">
        <f>F8</f>
        <v>External</v>
      </c>
      <c r="O8" s="127" t="str">
        <f>G8</f>
        <v>Intangibles</v>
      </c>
      <c r="P8" s="11"/>
      <c r="Q8" s="404" t="s">
        <v>81</v>
      </c>
      <c r="R8" s="407" t="str">
        <f>'AAD Calculation'!Q37</f>
        <v>AAD</v>
      </c>
      <c r="S8" s="377" t="str">
        <f>"NPV: "&amp;TEXT('AAD Calculation'!S37,"0%")</f>
        <v>NPV: 7%</v>
      </c>
      <c r="T8" s="377" t="s">
        <v>310</v>
      </c>
      <c r="U8" s="9"/>
      <c r="V8" s="8"/>
      <c r="W8" s="783"/>
      <c r="X8" s="781"/>
      <c r="Y8" s="781"/>
      <c r="Z8" s="781"/>
      <c r="AA8" s="473" t="s">
        <v>53</v>
      </c>
      <c r="AB8" s="473" t="s">
        <v>398</v>
      </c>
      <c r="AC8" s="473" t="s">
        <v>399</v>
      </c>
      <c r="AD8" s="473" t="s">
        <v>400</v>
      </c>
      <c r="AE8" s="473" t="s">
        <v>401</v>
      </c>
      <c r="AF8" s="473" t="s">
        <v>402</v>
      </c>
      <c r="AG8" s="474" t="s">
        <v>403</v>
      </c>
      <c r="AH8" s="11"/>
      <c r="AI8" s="11"/>
      <c r="AJ8" s="9"/>
    </row>
    <row r="9" spans="1:36" x14ac:dyDescent="0.3">
      <c r="A9" s="8"/>
      <c r="B9" s="131">
        <f>Properties!$L$10</f>
        <v>1.0000000000000001E-5</v>
      </c>
      <c r="C9" s="128">
        <f ca="1">'AAD Calculation'!C6</f>
        <v>29350888.96249456</v>
      </c>
      <c r="D9" s="128">
        <f ca="1">'AAD Calculation'!X6</f>
        <v>18472151.351965293</v>
      </c>
      <c r="E9" s="128">
        <f ca="1">'AAD Calculation'!AS6</f>
        <v>9277982.9072007574</v>
      </c>
      <c r="F9" s="128">
        <f>'AAD Calculation'!BN6</f>
        <v>1600754.7033285093</v>
      </c>
      <c r="G9" s="128">
        <f>'AAD Calculation'!CI6</f>
        <v>0</v>
      </c>
      <c r="H9" s="11"/>
      <c r="I9" s="11"/>
      <c r="J9" s="131">
        <f>Properties!$L$10</f>
        <v>1.0000000000000001E-5</v>
      </c>
      <c r="K9" s="129">
        <f ca="1">'AAD Calculation'!D6</f>
        <v>44325.759017669276</v>
      </c>
      <c r="L9" s="129">
        <f ca="1">'AAD Calculation'!Y6</f>
        <v>27356.564988288861</v>
      </c>
      <c r="M9" s="129">
        <f ca="1">'AAD Calculation'!AT6</f>
        <v>14190.351981623544</v>
      </c>
      <c r="N9" s="129">
        <f>'AAD Calculation'!BO6</f>
        <v>2778.8420477568739</v>
      </c>
      <c r="O9" s="129">
        <f>'AAD Calculation'!CJ6</f>
        <v>0</v>
      </c>
      <c r="P9" s="11"/>
      <c r="Q9" s="405" t="s">
        <v>340</v>
      </c>
      <c r="R9" s="408">
        <f ca="1">'AAD Calculation'!Q38</f>
        <v>474847.65054547589</v>
      </c>
      <c r="S9" s="235">
        <f ca="1">'AAD Calculation'!S38</f>
        <v>5892404.0515098106</v>
      </c>
      <c r="T9" s="375">
        <f ca="1">S9/$S$9</f>
        <v>1</v>
      </c>
      <c r="U9" s="9"/>
      <c r="V9" s="8"/>
      <c r="W9" s="786" t="s">
        <v>404</v>
      </c>
      <c r="X9" s="787"/>
      <c r="Y9" s="787"/>
      <c r="Z9" s="787"/>
      <c r="AA9" s="787"/>
      <c r="AB9" s="787"/>
      <c r="AC9" s="787"/>
      <c r="AD9" s="787"/>
      <c r="AE9" s="787"/>
      <c r="AF9" s="787"/>
      <c r="AG9" s="788"/>
      <c r="AH9" s="11"/>
      <c r="AI9" s="11"/>
      <c r="AJ9" s="9"/>
    </row>
    <row r="10" spans="1:36" x14ac:dyDescent="0.3">
      <c r="A10" s="8"/>
      <c r="B10" s="132">
        <f>Properties!$M$10</f>
        <v>2E-3</v>
      </c>
      <c r="C10" s="128">
        <f ca="1">'AAD Calculation'!C7</f>
        <v>15197612.562801197</v>
      </c>
      <c r="D10" s="128">
        <f ca="1">'AAD Calculation'!X7</f>
        <v>9021883.8121441137</v>
      </c>
      <c r="E10" s="128">
        <f ca="1">'AAD Calculation'!AS7</f>
        <v>4983677.3758379798</v>
      </c>
      <c r="F10" s="128">
        <f>'AAD Calculation'!BN7</f>
        <v>1192051.3748191027</v>
      </c>
      <c r="G10" s="128">
        <f>'AAD Calculation'!CI7</f>
        <v>0</v>
      </c>
      <c r="H10" s="11"/>
      <c r="I10" s="11"/>
      <c r="J10" s="132">
        <f>Properties!$M$10</f>
        <v>2E-3</v>
      </c>
      <c r="K10" s="129">
        <f ca="1">'AAD Calculation'!D7</f>
        <v>41469.484849799657</v>
      </c>
      <c r="L10" s="129">
        <f ca="1">'AAD Calculation'!Y7</f>
        <v>24527.771663051364</v>
      </c>
      <c r="M10" s="129">
        <f ca="1">'AAD Calculation'!AT7</f>
        <v>13569.910726545686</v>
      </c>
      <c r="N10" s="129">
        <f>'AAD Calculation'!BO7</f>
        <v>3371.8024602026044</v>
      </c>
      <c r="O10" s="129">
        <f>'AAD Calculation'!CJ7</f>
        <v>0</v>
      </c>
      <c r="P10" s="11"/>
      <c r="Q10" s="406" t="s">
        <v>53</v>
      </c>
      <c r="R10" s="409">
        <f ca="1">'AAD Calculation'!Q39</f>
        <v>260441.20659137049</v>
      </c>
      <c r="S10" s="234">
        <f ca="1">'AAD Calculation'!S39</f>
        <v>3231825.658474274</v>
      </c>
      <c r="T10" s="376">
        <f ca="1">S10/$S$9</f>
        <v>0.54847319196418365</v>
      </c>
      <c r="U10" s="9"/>
      <c r="V10" s="8"/>
      <c r="W10" s="131" t="str">
        <f>Properties!CK6</f>
        <v>PMF</v>
      </c>
      <c r="X10" s="455"/>
      <c r="Y10" s="455"/>
      <c r="Z10" s="456"/>
      <c r="AA10" s="456"/>
      <c r="AB10" s="456"/>
      <c r="AC10" s="456"/>
      <c r="AD10" s="456"/>
      <c r="AE10" s="456"/>
      <c r="AF10" s="456"/>
      <c r="AG10" s="457"/>
      <c r="AH10" s="11"/>
      <c r="AI10" s="11"/>
      <c r="AJ10" s="9"/>
    </row>
    <row r="11" spans="1:36" x14ac:dyDescent="0.3">
      <c r="A11" s="8"/>
      <c r="B11" s="132">
        <f>Properties!$N$10</f>
        <v>5.0000000000000001E-3</v>
      </c>
      <c r="C11" s="128">
        <f ca="1">'AAD Calculation'!C8</f>
        <v>12448710.670398574</v>
      </c>
      <c r="D11" s="128">
        <f ca="1">'AAD Calculation'!X8</f>
        <v>7329963.9632234629</v>
      </c>
      <c r="E11" s="128">
        <f ca="1">'AAD Calculation'!AS8</f>
        <v>4062929.7751924763</v>
      </c>
      <c r="F11" s="128">
        <f>'AAD Calculation'!BN8</f>
        <v>1055816.9319826337</v>
      </c>
      <c r="G11" s="128">
        <f>'AAD Calculation'!CI8</f>
        <v>0</v>
      </c>
      <c r="H11" s="11"/>
      <c r="I11" s="11"/>
      <c r="J11" s="132">
        <f>Properties!$N$10</f>
        <v>5.0000000000000001E-3</v>
      </c>
      <c r="K11" s="129">
        <f ca="1">'AAD Calculation'!D8</f>
        <v>53768.367254464232</v>
      </c>
      <c r="L11" s="129">
        <f ca="1">'AAD Calculation'!Y8</f>
        <v>31114.796557468853</v>
      </c>
      <c r="M11" s="129">
        <f ca="1">'AAD Calculation'!AT8</f>
        <v>17800.218670946178</v>
      </c>
      <c r="N11" s="129">
        <f>'AAD Calculation'!BO8</f>
        <v>4853.3520260492041</v>
      </c>
      <c r="O11" s="129">
        <f>'AAD Calculation'!CJ8</f>
        <v>0</v>
      </c>
      <c r="P11" s="11"/>
      <c r="Q11" s="406" t="s">
        <v>116</v>
      </c>
      <c r="R11" s="409">
        <f ca="1">'AAD Calculation'!Q40</f>
        <v>150379.15596327081</v>
      </c>
      <c r="S11" s="234">
        <f ca="1">'AAD Calculation'!S40</f>
        <v>1866061.1394890775</v>
      </c>
      <c r="T11" s="376">
        <f ca="1">S11/$S$9</f>
        <v>0.3166892703175942</v>
      </c>
      <c r="U11" s="9"/>
      <c r="V11" s="8"/>
      <c r="W11" s="132" t="str">
        <f>Properties!CK7</f>
        <v>0.2% AEP</v>
      </c>
      <c r="X11" s="455"/>
      <c r="Y11" s="455"/>
      <c r="Z11" s="456"/>
      <c r="AA11" s="456"/>
      <c r="AB11" s="456"/>
      <c r="AC11" s="456"/>
      <c r="AD11" s="456"/>
      <c r="AE11" s="456"/>
      <c r="AF11" s="456"/>
      <c r="AG11" s="457"/>
      <c r="AH11" s="11"/>
      <c r="AI11" s="11"/>
      <c r="AJ11" s="9"/>
    </row>
    <row r="12" spans="1:36" x14ac:dyDescent="0.3">
      <c r="A12" s="8"/>
      <c r="B12" s="337">
        <f>Properties!$O$10</f>
        <v>0.01</v>
      </c>
      <c r="C12" s="128">
        <f ca="1">'AAD Calculation'!C9</f>
        <v>9058636.2313871197</v>
      </c>
      <c r="D12" s="128">
        <f ca="1">'AAD Calculation'!X9</f>
        <v>5115954.6597640775</v>
      </c>
      <c r="E12" s="128">
        <f ca="1">'AAD Calculation'!AS9</f>
        <v>3057157.6931859944</v>
      </c>
      <c r="F12" s="128">
        <f>'AAD Calculation'!BN9</f>
        <v>885523.87843704771</v>
      </c>
      <c r="G12" s="128">
        <f>'AAD Calculation'!CI9</f>
        <v>0</v>
      </c>
      <c r="H12" s="11"/>
      <c r="I12" s="11"/>
      <c r="J12" s="337">
        <f>Properties!$O$10</f>
        <v>0.01</v>
      </c>
      <c r="K12" s="129">
        <f ca="1">'AAD Calculation'!D9</f>
        <v>74289.522099963724</v>
      </c>
      <c r="L12" s="129">
        <f ca="1">'AAD Calculation'!Y9</f>
        <v>41398.774125545591</v>
      </c>
      <c r="M12" s="129">
        <f ca="1">'AAD Calculation'!AT9</f>
        <v>24461.582410018695</v>
      </c>
      <c r="N12" s="129">
        <f>'AAD Calculation'!BO9</f>
        <v>7578.0408827785823</v>
      </c>
      <c r="O12" s="129">
        <f>'AAD Calculation'!CJ9</f>
        <v>851.12468162083917</v>
      </c>
      <c r="P12" s="11"/>
      <c r="Q12" s="406" t="s">
        <v>56</v>
      </c>
      <c r="R12" s="409">
        <f>'AAD Calculation'!Q41</f>
        <v>51278.303697539799</v>
      </c>
      <c r="S12" s="234">
        <f>'AAD Calculation'!S41</f>
        <v>636314.58240309218</v>
      </c>
      <c r="T12" s="376">
        <f ca="1">S12/$S$9</f>
        <v>0.10798895948760495</v>
      </c>
      <c r="U12" s="9"/>
      <c r="V12" s="8"/>
      <c r="W12" s="132" t="str">
        <f>Properties!CK8</f>
        <v>0.5% AEP</v>
      </c>
      <c r="X12" s="455"/>
      <c r="Y12" s="455"/>
      <c r="Z12" s="456"/>
      <c r="AA12" s="456"/>
      <c r="AB12" s="456"/>
      <c r="AC12" s="456"/>
      <c r="AD12" s="456"/>
      <c r="AE12" s="456"/>
      <c r="AF12" s="456"/>
      <c r="AG12" s="457"/>
      <c r="AH12" s="11"/>
      <c r="AI12" s="11"/>
      <c r="AJ12" s="9"/>
    </row>
    <row r="13" spans="1:36" x14ac:dyDescent="0.3">
      <c r="A13" s="8"/>
      <c r="B13" s="337">
        <f>Properties!$P$10</f>
        <v>0.02</v>
      </c>
      <c r="C13" s="128">
        <f ca="1">'AAD Calculation'!C10</f>
        <v>5629043.2522814553</v>
      </c>
      <c r="D13" s="128">
        <f ca="1">'AAD Calculation'!X10</f>
        <v>3163800.1653450415</v>
      </c>
      <c r="E13" s="128">
        <f ca="1">'AAD Calculation'!AS10</f>
        <v>1835158.7888177452</v>
      </c>
      <c r="F13" s="128">
        <f>'AAD Calculation'!BN10</f>
        <v>630084.29811866861</v>
      </c>
      <c r="G13" s="128">
        <f>'AAD Calculation'!CI10</f>
        <v>0</v>
      </c>
      <c r="H13" s="11"/>
      <c r="I13" s="11"/>
      <c r="J13" s="337">
        <f>Properties!$P$10</f>
        <v>0.02</v>
      </c>
      <c r="K13" s="129">
        <f ca="1">'AAD Calculation'!D10</f>
        <v>130167.54933496032</v>
      </c>
      <c r="L13" s="129">
        <f ca="1">'AAD Calculation'!Y10</f>
        <v>70391.402811943844</v>
      </c>
      <c r="M13" s="129">
        <f ca="1">'AAD Calculation'!AT10</f>
        <v>41734.454125524899</v>
      </c>
      <c r="N13" s="129">
        <f>'AAD Calculation'!BO10</f>
        <v>14815.495658465992</v>
      </c>
      <c r="O13" s="129">
        <f>'AAD Calculation'!CJ10</f>
        <v>3226.1967390255668</v>
      </c>
      <c r="P13" s="11"/>
      <c r="Q13" s="406" t="s">
        <v>285</v>
      </c>
      <c r="R13" s="409">
        <f>'AAD Calculation'!Q42</f>
        <v>12748.984293294741</v>
      </c>
      <c r="S13" s="234">
        <f>'AAD Calculation'!S42</f>
        <v>158202.67114336381</v>
      </c>
      <c r="T13" s="376">
        <f ca="1">S13/$S$9</f>
        <v>2.6848578230616676E-2</v>
      </c>
      <c r="U13" s="9"/>
      <c r="V13" s="8"/>
      <c r="W13" s="337" t="str">
        <f>Properties!CK9</f>
        <v>1% AEP</v>
      </c>
      <c r="X13" s="455"/>
      <c r="Y13" s="455"/>
      <c r="Z13" s="456"/>
      <c r="AA13" s="456"/>
      <c r="AB13" s="456"/>
      <c r="AC13" s="456"/>
      <c r="AD13" s="456"/>
      <c r="AE13" s="456"/>
      <c r="AF13" s="456"/>
      <c r="AG13" s="457"/>
      <c r="AH13" s="11"/>
      <c r="AI13" s="11"/>
      <c r="AJ13" s="9"/>
    </row>
    <row r="14" spans="1:36" x14ac:dyDescent="0.3">
      <c r="A14" s="8"/>
      <c r="B14" s="337">
        <f>Properties!$Q$10</f>
        <v>0.05</v>
      </c>
      <c r="C14" s="128">
        <f ca="1">'AAD Calculation'!C11</f>
        <v>2833713.5874475264</v>
      </c>
      <c r="D14" s="128">
        <f ca="1">'AAD Calculation'!X11</f>
        <v>1528960.0221178806</v>
      </c>
      <c r="E14" s="128">
        <f ca="1">'AAD Calculation'!AS11</f>
        <v>947138.15288391476</v>
      </c>
      <c r="F14" s="128">
        <f>'AAD Calculation'!BN11</f>
        <v>357615.41244573082</v>
      </c>
      <c r="G14" s="128">
        <f>'AAD Calculation'!CI11</f>
        <v>0</v>
      </c>
      <c r="H14" s="11"/>
      <c r="I14" s="11"/>
      <c r="J14" s="337">
        <f>Properties!$Q$10</f>
        <v>0.05</v>
      </c>
      <c r="K14" s="129">
        <f ca="1">'AAD Calculation'!D11</f>
        <v>94249.086626361561</v>
      </c>
      <c r="L14" s="129">
        <f ca="1">'AAD Calculation'!Y11</f>
        <v>47366.63251698867</v>
      </c>
      <c r="M14" s="129">
        <f ca="1">'AAD Calculation'!AT11</f>
        <v>28659.848564269181</v>
      </c>
      <c r="N14" s="129">
        <f>'AAD Calculation'!BO11</f>
        <v>11920.513748191028</v>
      </c>
      <c r="O14" s="129">
        <f>'AAD Calculation'!CJ11</f>
        <v>6302.0917969126867</v>
      </c>
      <c r="P14" s="11"/>
      <c r="Q14" s="11"/>
      <c r="R14" s="11"/>
      <c r="S14" s="11"/>
      <c r="T14" s="11"/>
      <c r="U14" s="9"/>
      <c r="V14" s="8"/>
      <c r="W14" s="337" t="str">
        <f>Properties!CK10</f>
        <v>2% AEP</v>
      </c>
      <c r="X14" s="455"/>
      <c r="Y14" s="455"/>
      <c r="Z14" s="456"/>
      <c r="AA14" s="456"/>
      <c r="AB14" s="456"/>
      <c r="AC14" s="456"/>
      <c r="AD14" s="456"/>
      <c r="AE14" s="456"/>
      <c r="AF14" s="456"/>
      <c r="AG14" s="457"/>
      <c r="AH14" s="11"/>
      <c r="AI14" s="11"/>
      <c r="AJ14" s="9"/>
    </row>
    <row r="15" spans="1:36" x14ac:dyDescent="0.3">
      <c r="A15" s="8"/>
      <c r="B15" s="337">
        <f>Properties!$R$10</f>
        <v>0.1</v>
      </c>
      <c r="C15" s="128">
        <f ca="1">'AAD Calculation'!C12</f>
        <v>684166.20573042845</v>
      </c>
      <c r="D15" s="128">
        <f ca="1">'AAD Calculation'!X12</f>
        <v>365705.27856166585</v>
      </c>
      <c r="E15" s="128">
        <f ca="1">'AAD Calculation'!AS12</f>
        <v>199255.78968685228</v>
      </c>
      <c r="F15" s="128">
        <f>'AAD Calculation'!BN12</f>
        <v>119205.13748191026</v>
      </c>
      <c r="G15" s="128">
        <f>'AAD Calculation'!CI12</f>
        <v>0</v>
      </c>
      <c r="H15" s="11"/>
      <c r="I15" s="11"/>
      <c r="J15" s="337">
        <f>Properties!$R$10</f>
        <v>0.1</v>
      </c>
      <c r="K15" s="129">
        <f ca="1">'AAD Calculation'!D12</f>
        <v>36577.881362257067</v>
      </c>
      <c r="L15" s="129">
        <f ca="1">'AAD Calculation'!Y12</f>
        <v>18285.263928083292</v>
      </c>
      <c r="M15" s="129">
        <f ca="1">'AAD Calculation'!AT12</f>
        <v>9962.7894843426147</v>
      </c>
      <c r="N15" s="129">
        <f>'AAD Calculation'!BO12</f>
        <v>5960.2568740955139</v>
      </c>
      <c r="O15" s="129">
        <f>'AAD Calculation'!CJ12</f>
        <v>2369.5710757356487</v>
      </c>
      <c r="P15" s="11"/>
      <c r="Q15" s="11"/>
      <c r="R15" s="11"/>
      <c r="S15" s="11"/>
      <c r="T15" s="11"/>
      <c r="U15" s="9"/>
      <c r="V15" s="8"/>
      <c r="W15" s="337" t="str">
        <f>Properties!CK11</f>
        <v>5% AEP</v>
      </c>
      <c r="X15" s="455"/>
      <c r="Y15" s="455"/>
      <c r="Z15" s="456"/>
      <c r="AA15" s="456"/>
      <c r="AB15" s="456"/>
      <c r="AC15" s="456"/>
      <c r="AD15" s="456"/>
      <c r="AE15" s="456"/>
      <c r="AF15" s="456"/>
      <c r="AG15" s="457"/>
      <c r="AH15" s="11"/>
      <c r="AI15" s="11"/>
      <c r="AJ15" s="9"/>
    </row>
    <row r="16" spans="1:36" x14ac:dyDescent="0.3">
      <c r="A16" s="8"/>
      <c r="B16" s="337">
        <f>Properties!$S$10</f>
        <v>0.2</v>
      </c>
      <c r="C16" s="128">
        <f ca="1">'AAD Calculation'!C13</f>
        <v>0</v>
      </c>
      <c r="D16" s="128">
        <f ca="1">'AAD Calculation'!X13</f>
        <v>0</v>
      </c>
      <c r="E16" s="128">
        <f ca="1">'AAD Calculation'!AS13</f>
        <v>0</v>
      </c>
      <c r="F16" s="128">
        <f>'AAD Calculation'!BN13</f>
        <v>0</v>
      </c>
      <c r="G16" s="128">
        <f>'AAD Calculation'!CI13</f>
        <v>0</v>
      </c>
      <c r="H16" s="11"/>
      <c r="I16" s="11"/>
      <c r="J16" s="337">
        <f>Properties!$S$10</f>
        <v>0.2</v>
      </c>
      <c r="K16" s="129">
        <f ca="1">'AAD Calculation'!D13</f>
        <v>0</v>
      </c>
      <c r="L16" s="129">
        <f ca="1">'AAD Calculation'!Y13</f>
        <v>0</v>
      </c>
      <c r="M16" s="129">
        <f ca="1">'AAD Calculation'!AT13</f>
        <v>0</v>
      </c>
      <c r="N16" s="129">
        <f>'AAD Calculation'!BO13</f>
        <v>0</v>
      </c>
      <c r="O16" s="129">
        <f>'AAD Calculation'!CJ13</f>
        <v>0</v>
      </c>
      <c r="P16" s="11"/>
      <c r="Q16" s="11"/>
      <c r="R16" s="11"/>
      <c r="S16" s="11"/>
      <c r="T16" s="11"/>
      <c r="U16" s="9"/>
      <c r="V16" s="8"/>
      <c r="W16" s="337" t="str">
        <f>Properties!CK12</f>
        <v>10% AEP</v>
      </c>
      <c r="X16" s="455"/>
      <c r="Y16" s="455"/>
      <c r="Z16" s="456"/>
      <c r="AA16" s="456"/>
      <c r="AB16" s="456"/>
      <c r="AC16" s="456"/>
      <c r="AD16" s="456"/>
      <c r="AE16" s="456"/>
      <c r="AF16" s="456"/>
      <c r="AG16" s="457"/>
      <c r="AH16" s="11"/>
      <c r="AI16" s="11"/>
      <c r="AJ16" s="9"/>
    </row>
    <row r="17" spans="1:36" x14ac:dyDescent="0.3">
      <c r="A17" s="8"/>
      <c r="B17" s="337">
        <f>Properties!$T$10</f>
        <v>0.5</v>
      </c>
      <c r="C17" s="128">
        <f ca="1">'AAD Calculation'!C14</f>
        <v>0</v>
      </c>
      <c r="D17" s="128">
        <f ca="1">'AAD Calculation'!X14</f>
        <v>0</v>
      </c>
      <c r="E17" s="128">
        <f ca="1">'AAD Calculation'!AS14</f>
        <v>0</v>
      </c>
      <c r="F17" s="128">
        <f>'AAD Calculation'!BN14</f>
        <v>0</v>
      </c>
      <c r="G17" s="128">
        <f>'AAD Calculation'!CI14</f>
        <v>0</v>
      </c>
      <c r="H17" s="11"/>
      <c r="I17" s="11"/>
      <c r="J17" s="337">
        <f>Properties!$T$10</f>
        <v>0.5</v>
      </c>
      <c r="K17" s="129">
        <f ca="1">'AAD Calculation'!D14</f>
        <v>0</v>
      </c>
      <c r="L17" s="129">
        <f ca="1">'AAD Calculation'!Y14</f>
        <v>0</v>
      </c>
      <c r="M17" s="129">
        <f ca="1">'AAD Calculation'!AT14</f>
        <v>0</v>
      </c>
      <c r="N17" s="129">
        <f>'AAD Calculation'!BO14</f>
        <v>0</v>
      </c>
      <c r="O17" s="129">
        <f>'AAD Calculation'!CJ14</f>
        <v>0</v>
      </c>
      <c r="P17" s="11"/>
      <c r="Q17" s="11"/>
      <c r="R17" s="11"/>
      <c r="S17" s="11"/>
      <c r="T17" s="11"/>
      <c r="U17" s="9"/>
      <c r="V17" s="8"/>
      <c r="W17" s="337" t="str">
        <f>Properties!CK13</f>
        <v>20% AEP</v>
      </c>
      <c r="X17" s="455"/>
      <c r="Y17" s="455"/>
      <c r="Z17" s="456"/>
      <c r="AA17" s="456"/>
      <c r="AB17" s="456"/>
      <c r="AC17" s="456"/>
      <c r="AD17" s="456"/>
      <c r="AE17" s="456"/>
      <c r="AF17" s="456"/>
      <c r="AG17" s="457"/>
      <c r="AH17" s="11"/>
      <c r="AI17" s="11"/>
      <c r="AJ17" s="9"/>
    </row>
    <row r="18" spans="1:36" x14ac:dyDescent="0.3">
      <c r="A18" s="8"/>
      <c r="B18" s="337">
        <f>Properties!$U$10</f>
        <v>1</v>
      </c>
      <c r="C18" s="128">
        <f ca="1">'AAD Calculation'!C15</f>
        <v>0</v>
      </c>
      <c r="D18" s="128">
        <f ca="1">'AAD Calculation'!X15</f>
        <v>0</v>
      </c>
      <c r="E18" s="128">
        <f ca="1">'AAD Calculation'!AS15</f>
        <v>0</v>
      </c>
      <c r="F18" s="128">
        <f>'AAD Calculation'!BN15</f>
        <v>0</v>
      </c>
      <c r="G18" s="128">
        <f>'AAD Calculation'!CI15</f>
        <v>0</v>
      </c>
      <c r="H18" s="11"/>
      <c r="I18" s="11"/>
      <c r="J18" s="337">
        <f>Properties!$U$10</f>
        <v>1</v>
      </c>
      <c r="K18" s="129">
        <f ca="1">'AAD Calculation'!D15</f>
        <v>0</v>
      </c>
      <c r="L18" s="129">
        <f ca="1">'AAD Calculation'!Y15</f>
        <v>0</v>
      </c>
      <c r="M18" s="129">
        <f ca="1">'AAD Calculation'!AT15</f>
        <v>0</v>
      </c>
      <c r="N18" s="129">
        <f>'AAD Calculation'!BO15</f>
        <v>0</v>
      </c>
      <c r="O18" s="129">
        <f>'AAD Calculation'!CJ15</f>
        <v>0</v>
      </c>
      <c r="P18" s="11"/>
      <c r="Q18" s="11"/>
      <c r="R18" s="11"/>
      <c r="S18" s="11"/>
      <c r="T18" s="11"/>
      <c r="U18" s="9"/>
      <c r="V18" s="8"/>
      <c r="W18" s="337" t="str">
        <f>Properties!CK14</f>
        <v>50% AEP</v>
      </c>
      <c r="X18" s="455"/>
      <c r="Y18" s="455"/>
      <c r="Z18" s="456"/>
      <c r="AA18" s="456"/>
      <c r="AB18" s="456"/>
      <c r="AC18" s="456"/>
      <c r="AD18" s="456"/>
      <c r="AE18" s="456"/>
      <c r="AF18" s="456"/>
      <c r="AG18" s="457"/>
      <c r="AH18" s="11"/>
      <c r="AI18" s="11"/>
      <c r="AJ18" s="9"/>
    </row>
    <row r="19" spans="1:36" ht="15" thickBot="1" x14ac:dyDescent="0.35">
      <c r="A19" s="8"/>
      <c r="B19" s="372"/>
      <c r="C19" s="374"/>
      <c r="D19" s="374"/>
      <c r="E19" s="374"/>
      <c r="F19" s="374"/>
      <c r="G19" s="374"/>
      <c r="H19" s="11"/>
      <c r="I19" s="11"/>
      <c r="J19" s="372"/>
      <c r="K19" s="341">
        <f ca="1">'AAD Calculation'!D16</f>
        <v>474847.65054547589</v>
      </c>
      <c r="L19" s="341">
        <f ca="1">'AAD Calculation'!Y16</f>
        <v>260441.20659137049</v>
      </c>
      <c r="M19" s="341">
        <f ca="1">'AAD Calculation'!AT16</f>
        <v>150379.15596327081</v>
      </c>
      <c r="N19" s="341">
        <f>'AAD Calculation'!BO16</f>
        <v>51278.303697539799</v>
      </c>
      <c r="O19" s="341">
        <f>'AAD Calculation'!CJ16</f>
        <v>12748.984293294741</v>
      </c>
      <c r="P19" s="11"/>
      <c r="Q19" s="11"/>
      <c r="R19" s="11"/>
      <c r="S19" s="11"/>
      <c r="T19" s="11"/>
      <c r="U19" s="9"/>
      <c r="V19" s="8"/>
      <c r="W19" s="337" t="str">
        <f>Properties!CK15</f>
        <v>100% AEP</v>
      </c>
      <c r="X19" s="455"/>
      <c r="Y19" s="455"/>
      <c r="Z19" s="456"/>
      <c r="AA19" s="456"/>
      <c r="AB19" s="456"/>
      <c r="AC19" s="456"/>
      <c r="AD19" s="456"/>
      <c r="AE19" s="456"/>
      <c r="AF19" s="456"/>
      <c r="AG19" s="457"/>
      <c r="AH19" s="11"/>
      <c r="AI19" s="11"/>
      <c r="AJ19" s="9"/>
    </row>
    <row r="20" spans="1:36" ht="15" thickBot="1" x14ac:dyDescent="0.35">
      <c r="A20" s="8"/>
      <c r="B20" s="11"/>
      <c r="C20" s="11"/>
      <c r="D20" s="11"/>
      <c r="E20" s="11"/>
      <c r="F20" s="11"/>
      <c r="G20" s="11"/>
      <c r="H20" s="11"/>
      <c r="I20" s="11"/>
      <c r="J20" s="11"/>
      <c r="K20" s="11"/>
      <c r="L20" s="11"/>
      <c r="M20" s="11"/>
      <c r="N20" s="11"/>
      <c r="O20" s="11"/>
      <c r="P20" s="11"/>
      <c r="Q20" s="11"/>
      <c r="R20" s="11"/>
      <c r="S20" s="11"/>
      <c r="T20" s="11"/>
      <c r="U20" s="9"/>
      <c r="V20" s="8"/>
      <c r="W20" s="458" t="s">
        <v>405</v>
      </c>
      <c r="X20" s="459"/>
      <c r="Y20" s="460"/>
      <c r="Z20" s="460"/>
      <c r="AA20" s="460"/>
      <c r="AB20" s="460"/>
      <c r="AC20" s="460"/>
      <c r="AD20" s="460"/>
      <c r="AE20" s="460"/>
      <c r="AF20" s="460"/>
      <c r="AG20" s="461"/>
      <c r="AH20" s="11"/>
      <c r="AI20" s="11"/>
      <c r="AJ20" s="9"/>
    </row>
    <row r="21" spans="1:36" ht="15" thickBot="1" x14ac:dyDescent="0.35">
      <c r="A21" s="8"/>
      <c r="B21" s="11"/>
      <c r="C21" s="11"/>
      <c r="D21" s="11"/>
      <c r="E21" s="11"/>
      <c r="F21" s="11"/>
      <c r="G21" s="11"/>
      <c r="H21" s="11"/>
      <c r="I21" s="11"/>
      <c r="J21" s="11"/>
      <c r="K21" s="11"/>
      <c r="L21" s="11"/>
      <c r="M21" s="11"/>
      <c r="N21" s="11"/>
      <c r="O21" s="11"/>
      <c r="P21" s="11"/>
      <c r="Q21" s="11"/>
      <c r="R21" s="11"/>
      <c r="S21" s="11"/>
      <c r="T21" s="11"/>
      <c r="U21" s="9"/>
      <c r="V21" s="8"/>
      <c r="W21" s="11"/>
      <c r="X21" s="11"/>
      <c r="Y21" s="11"/>
      <c r="Z21" s="11"/>
      <c r="AA21" s="11"/>
      <c r="AB21" s="11"/>
      <c r="AC21" s="11"/>
      <c r="AD21" s="11"/>
      <c r="AE21" s="11"/>
      <c r="AF21" s="11"/>
      <c r="AG21" s="11"/>
      <c r="AH21" s="11"/>
      <c r="AI21" s="11"/>
      <c r="AJ21" s="9"/>
    </row>
    <row r="22" spans="1:36" ht="19.5" customHeight="1" thickBot="1" x14ac:dyDescent="0.35">
      <c r="A22" s="8"/>
      <c r="B22" s="11"/>
      <c r="C22" s="11"/>
      <c r="D22" s="11"/>
      <c r="E22" s="11"/>
      <c r="F22" s="11"/>
      <c r="G22" s="11"/>
      <c r="H22" s="11"/>
      <c r="I22" s="11"/>
      <c r="J22" s="11"/>
      <c r="K22" s="11"/>
      <c r="L22" s="11"/>
      <c r="M22" s="11"/>
      <c r="N22" s="11"/>
      <c r="O22" s="11"/>
      <c r="P22" s="11"/>
      <c r="Q22" s="11"/>
      <c r="R22" s="11"/>
      <c r="S22" s="11"/>
      <c r="T22" s="11"/>
      <c r="U22" s="9"/>
      <c r="V22" s="8"/>
      <c r="W22" s="794" t="s">
        <v>426</v>
      </c>
      <c r="X22" s="795"/>
      <c r="Y22" s="795"/>
      <c r="Z22" s="795"/>
      <c r="AA22" s="795"/>
      <c r="AB22" s="795"/>
      <c r="AC22" s="795"/>
      <c r="AD22" s="795"/>
      <c r="AE22" s="796"/>
      <c r="AF22" s="11"/>
      <c r="AG22" s="11"/>
      <c r="AH22" s="11"/>
      <c r="AI22" s="11"/>
      <c r="AJ22" s="9"/>
    </row>
    <row r="23" spans="1:36" x14ac:dyDescent="0.3">
      <c r="A23" s="8"/>
      <c r="B23" s="11"/>
      <c r="C23" s="11"/>
      <c r="D23" s="11"/>
      <c r="E23" s="11"/>
      <c r="F23" s="11"/>
      <c r="G23" s="11"/>
      <c r="H23" s="11"/>
      <c r="I23" s="11"/>
      <c r="J23" s="11"/>
      <c r="K23" s="11"/>
      <c r="L23" s="11"/>
      <c r="M23" s="11"/>
      <c r="N23" s="11"/>
      <c r="O23" s="11"/>
      <c r="P23" s="11"/>
      <c r="Q23" s="11"/>
      <c r="R23" s="11"/>
      <c r="S23" s="11"/>
      <c r="T23" s="11"/>
      <c r="U23" s="9"/>
      <c r="V23" s="8"/>
      <c r="W23" s="789" t="s">
        <v>394</v>
      </c>
      <c r="X23" s="780" t="s">
        <v>396</v>
      </c>
      <c r="Y23" s="780" t="s">
        <v>406</v>
      </c>
      <c r="Z23" s="780" t="s">
        <v>407</v>
      </c>
      <c r="AA23" s="780" t="s">
        <v>545</v>
      </c>
      <c r="AB23" s="791" t="s">
        <v>395</v>
      </c>
      <c r="AC23" s="792"/>
      <c r="AD23" s="792"/>
      <c r="AE23" s="793"/>
      <c r="AF23" s="11"/>
      <c r="AG23" s="11"/>
      <c r="AH23" s="11"/>
      <c r="AI23" s="11"/>
      <c r="AJ23" s="9"/>
    </row>
    <row r="24" spans="1:36" ht="28.8" x14ac:dyDescent="0.3">
      <c r="A24" s="8"/>
      <c r="B24" s="11"/>
      <c r="C24" s="11"/>
      <c r="D24" s="11"/>
      <c r="E24" s="11"/>
      <c r="F24" s="11"/>
      <c r="G24" s="11"/>
      <c r="H24" s="11"/>
      <c r="I24" s="11"/>
      <c r="J24" s="11"/>
      <c r="K24" s="11"/>
      <c r="L24" s="11"/>
      <c r="M24" s="11"/>
      <c r="N24" s="11"/>
      <c r="O24" s="11"/>
      <c r="P24" s="11"/>
      <c r="Q24" s="11"/>
      <c r="R24" s="11"/>
      <c r="S24" s="11"/>
      <c r="T24" s="11"/>
      <c r="U24" s="9"/>
      <c r="V24" s="8"/>
      <c r="W24" s="790"/>
      <c r="X24" s="781"/>
      <c r="Y24" s="781"/>
      <c r="Z24" s="781"/>
      <c r="AA24" s="781"/>
      <c r="AB24" s="473" t="s">
        <v>408</v>
      </c>
      <c r="AC24" s="473" t="s">
        <v>546</v>
      </c>
      <c r="AD24" s="473" t="s">
        <v>409</v>
      </c>
      <c r="AE24" s="474" t="s">
        <v>410</v>
      </c>
      <c r="AF24" s="11"/>
      <c r="AG24" s="11"/>
      <c r="AH24" s="11"/>
      <c r="AI24" s="11"/>
      <c r="AJ24" s="9"/>
    </row>
    <row r="25" spans="1:36" x14ac:dyDescent="0.3">
      <c r="A25" s="8"/>
      <c r="B25" s="11"/>
      <c r="C25" s="11"/>
      <c r="D25" s="11"/>
      <c r="E25" s="11"/>
      <c r="F25" s="11"/>
      <c r="G25" s="11"/>
      <c r="H25" s="11"/>
      <c r="I25" s="11"/>
      <c r="J25" s="11"/>
      <c r="K25" s="11"/>
      <c r="L25" s="11"/>
      <c r="M25" s="11"/>
      <c r="N25" s="11"/>
      <c r="O25" s="11"/>
      <c r="P25" s="11"/>
      <c r="Q25" s="11"/>
      <c r="R25" s="11"/>
      <c r="S25" s="11"/>
      <c r="T25" s="11"/>
      <c r="U25" s="9"/>
      <c r="V25" s="8"/>
      <c r="W25" s="769" t="s">
        <v>404</v>
      </c>
      <c r="X25" s="770"/>
      <c r="Y25" s="770"/>
      <c r="Z25" s="770"/>
      <c r="AA25" s="770"/>
      <c r="AB25" s="770"/>
      <c r="AC25" s="770"/>
      <c r="AD25" s="770"/>
      <c r="AE25" s="771"/>
      <c r="AF25" s="11"/>
      <c r="AG25" s="11"/>
      <c r="AH25" s="11"/>
      <c r="AI25" s="11"/>
      <c r="AJ25" s="9"/>
    </row>
    <row r="26" spans="1:36" x14ac:dyDescent="0.3">
      <c r="A26" s="8"/>
      <c r="B26" s="11"/>
      <c r="C26" s="11"/>
      <c r="D26" s="11"/>
      <c r="E26" s="11"/>
      <c r="F26" s="11"/>
      <c r="G26" s="11"/>
      <c r="H26" s="11"/>
      <c r="I26" s="11"/>
      <c r="J26" s="11"/>
      <c r="K26" s="11"/>
      <c r="L26" s="11"/>
      <c r="M26" s="11"/>
      <c r="N26" s="11"/>
      <c r="O26" s="11"/>
      <c r="P26" s="11"/>
      <c r="Q26" s="11"/>
      <c r="R26" s="11"/>
      <c r="S26" s="11"/>
      <c r="T26" s="11"/>
      <c r="U26" s="9"/>
      <c r="V26" s="8"/>
      <c r="W26" s="465" t="str">
        <f t="shared" ref="W26:W35" si="0">W10</f>
        <v>PMF</v>
      </c>
      <c r="X26" s="455"/>
      <c r="Y26" s="455"/>
      <c r="Z26" s="456"/>
      <c r="AA26" s="456"/>
      <c r="AB26" s="456"/>
      <c r="AC26" s="456"/>
      <c r="AD26" s="456"/>
      <c r="AE26" s="457"/>
      <c r="AF26" s="11"/>
      <c r="AG26" s="11"/>
      <c r="AH26" s="11"/>
      <c r="AI26" s="11"/>
      <c r="AJ26" s="9"/>
    </row>
    <row r="27" spans="1:36" x14ac:dyDescent="0.3">
      <c r="A27" s="8"/>
      <c r="B27" s="11"/>
      <c r="C27" s="11"/>
      <c r="D27" s="11"/>
      <c r="E27" s="11"/>
      <c r="F27" s="11"/>
      <c r="G27" s="11"/>
      <c r="H27" s="11"/>
      <c r="I27" s="11"/>
      <c r="J27" s="11"/>
      <c r="K27" s="11"/>
      <c r="L27" s="11"/>
      <c r="M27" s="11"/>
      <c r="N27" s="11"/>
      <c r="O27" s="11"/>
      <c r="P27" s="11"/>
      <c r="Q27" s="11"/>
      <c r="R27" s="11"/>
      <c r="S27" s="11"/>
      <c r="T27" s="11"/>
      <c r="U27" s="9"/>
      <c r="V27" s="8"/>
      <c r="W27" s="466" t="str">
        <f t="shared" si="0"/>
        <v>0.2% AEP</v>
      </c>
      <c r="X27" s="455"/>
      <c r="Y27" s="455"/>
      <c r="Z27" s="456"/>
      <c r="AA27" s="456"/>
      <c r="AB27" s="456"/>
      <c r="AC27" s="456"/>
      <c r="AD27" s="456"/>
      <c r="AE27" s="457"/>
      <c r="AF27" s="11"/>
      <c r="AG27" s="11"/>
      <c r="AH27" s="11"/>
      <c r="AI27" s="11"/>
      <c r="AJ27" s="9"/>
    </row>
    <row r="28" spans="1:36" x14ac:dyDescent="0.3">
      <c r="A28" s="8"/>
      <c r="B28" s="11"/>
      <c r="C28" s="11"/>
      <c r="D28" s="11"/>
      <c r="E28" s="11"/>
      <c r="F28" s="11"/>
      <c r="G28" s="11"/>
      <c r="H28" s="11"/>
      <c r="I28" s="11"/>
      <c r="J28" s="11"/>
      <c r="K28" s="11"/>
      <c r="L28" s="11"/>
      <c r="M28" s="11"/>
      <c r="N28" s="11"/>
      <c r="O28" s="11"/>
      <c r="P28" s="11"/>
      <c r="Q28" s="11"/>
      <c r="R28" s="11"/>
      <c r="S28" s="11"/>
      <c r="T28" s="11"/>
      <c r="U28" s="9"/>
      <c r="V28" s="8"/>
      <c r="W28" s="466" t="str">
        <f t="shared" si="0"/>
        <v>0.5% AEP</v>
      </c>
      <c r="X28" s="455"/>
      <c r="Y28" s="455"/>
      <c r="Z28" s="456"/>
      <c r="AA28" s="456"/>
      <c r="AB28" s="456"/>
      <c r="AC28" s="456"/>
      <c r="AD28" s="456"/>
      <c r="AE28" s="457"/>
      <c r="AF28" s="11"/>
      <c r="AG28" s="11"/>
      <c r="AH28" s="11"/>
      <c r="AI28" s="11"/>
      <c r="AJ28" s="9"/>
    </row>
    <row r="29" spans="1:36" x14ac:dyDescent="0.3">
      <c r="A29" s="8"/>
      <c r="B29" s="11"/>
      <c r="C29" s="11"/>
      <c r="D29" s="11"/>
      <c r="E29" s="11"/>
      <c r="F29" s="11"/>
      <c r="G29" s="11"/>
      <c r="H29" s="11"/>
      <c r="I29" s="11"/>
      <c r="J29" s="11"/>
      <c r="K29" s="11"/>
      <c r="L29" s="11"/>
      <c r="M29" s="11"/>
      <c r="N29" s="11"/>
      <c r="O29" s="11"/>
      <c r="P29" s="11"/>
      <c r="Q29" s="11"/>
      <c r="R29" s="11"/>
      <c r="S29" s="11"/>
      <c r="T29" s="11"/>
      <c r="U29" s="9"/>
      <c r="V29" s="8"/>
      <c r="W29" s="467" t="str">
        <f t="shared" si="0"/>
        <v>1% AEP</v>
      </c>
      <c r="X29" s="455"/>
      <c r="Y29" s="455"/>
      <c r="Z29" s="456"/>
      <c r="AA29" s="456"/>
      <c r="AB29" s="456"/>
      <c r="AC29" s="456"/>
      <c r="AD29" s="456"/>
      <c r="AE29" s="457"/>
      <c r="AF29" s="11"/>
      <c r="AG29" s="11"/>
      <c r="AH29" s="11"/>
      <c r="AI29" s="11"/>
      <c r="AJ29" s="9"/>
    </row>
    <row r="30" spans="1:36" x14ac:dyDescent="0.3">
      <c r="A30" s="8"/>
      <c r="B30" s="11"/>
      <c r="C30" s="11"/>
      <c r="D30" s="11"/>
      <c r="E30" s="11"/>
      <c r="F30" s="11"/>
      <c r="G30" s="11"/>
      <c r="H30" s="11"/>
      <c r="I30" s="11"/>
      <c r="J30" s="11"/>
      <c r="K30" s="11"/>
      <c r="L30" s="11"/>
      <c r="M30" s="11"/>
      <c r="N30" s="11"/>
      <c r="O30" s="11"/>
      <c r="P30" s="11"/>
      <c r="Q30" s="11"/>
      <c r="R30" s="11"/>
      <c r="S30" s="11"/>
      <c r="T30" s="11"/>
      <c r="U30" s="9"/>
      <c r="V30" s="8"/>
      <c r="W30" s="467" t="str">
        <f t="shared" si="0"/>
        <v>2% AEP</v>
      </c>
      <c r="X30" s="455"/>
      <c r="Y30" s="455"/>
      <c r="Z30" s="456"/>
      <c r="AA30" s="456"/>
      <c r="AB30" s="456"/>
      <c r="AC30" s="456"/>
      <c r="AD30" s="456"/>
      <c r="AE30" s="457"/>
      <c r="AF30" s="11"/>
      <c r="AG30" s="11"/>
      <c r="AH30" s="11"/>
      <c r="AI30" s="11"/>
      <c r="AJ30" s="9"/>
    </row>
    <row r="31" spans="1:36" x14ac:dyDescent="0.3">
      <c r="A31" s="8"/>
      <c r="B31" s="11"/>
      <c r="C31" s="11"/>
      <c r="D31" s="11"/>
      <c r="E31" s="11"/>
      <c r="F31" s="11"/>
      <c r="G31" s="11"/>
      <c r="H31" s="11"/>
      <c r="I31" s="11"/>
      <c r="J31" s="11"/>
      <c r="K31" s="11"/>
      <c r="L31" s="11"/>
      <c r="M31" s="11"/>
      <c r="N31" s="11"/>
      <c r="O31" s="11"/>
      <c r="P31" s="11"/>
      <c r="Q31" s="11"/>
      <c r="R31" s="11"/>
      <c r="S31" s="11"/>
      <c r="T31" s="11"/>
      <c r="U31" s="9"/>
      <c r="V31" s="8"/>
      <c r="W31" s="467" t="str">
        <f t="shared" si="0"/>
        <v>5% AEP</v>
      </c>
      <c r="X31" s="455"/>
      <c r="Y31" s="455"/>
      <c r="Z31" s="456"/>
      <c r="AA31" s="456"/>
      <c r="AB31" s="456"/>
      <c r="AC31" s="456"/>
      <c r="AD31" s="456"/>
      <c r="AE31" s="457"/>
      <c r="AF31" s="11"/>
      <c r="AG31" s="11"/>
      <c r="AH31" s="11"/>
      <c r="AI31" s="11"/>
      <c r="AJ31" s="9"/>
    </row>
    <row r="32" spans="1:36" x14ac:dyDescent="0.3">
      <c r="A32" s="8"/>
      <c r="B32" s="11"/>
      <c r="C32" s="11"/>
      <c r="D32" s="11"/>
      <c r="E32" s="11"/>
      <c r="F32" s="11"/>
      <c r="G32" s="11"/>
      <c r="H32" s="11"/>
      <c r="I32" s="11"/>
      <c r="J32" s="11"/>
      <c r="K32" s="11"/>
      <c r="L32" s="11"/>
      <c r="M32" s="11"/>
      <c r="N32" s="11"/>
      <c r="O32" s="11"/>
      <c r="P32" s="11"/>
      <c r="Q32" s="11"/>
      <c r="R32" s="11"/>
      <c r="S32" s="11"/>
      <c r="T32" s="11"/>
      <c r="U32" s="9"/>
      <c r="V32" s="8"/>
      <c r="W32" s="467" t="str">
        <f t="shared" si="0"/>
        <v>10% AEP</v>
      </c>
      <c r="X32" s="455"/>
      <c r="Y32" s="455"/>
      <c r="Z32" s="456"/>
      <c r="AA32" s="456"/>
      <c r="AB32" s="456"/>
      <c r="AC32" s="456"/>
      <c r="AD32" s="456"/>
      <c r="AE32" s="457"/>
      <c r="AF32" s="11"/>
      <c r="AG32" s="11"/>
      <c r="AH32" s="11"/>
      <c r="AI32" s="11"/>
      <c r="AJ32" s="9"/>
    </row>
    <row r="33" spans="1:36" x14ac:dyDescent="0.3">
      <c r="A33" s="8"/>
      <c r="B33" s="11"/>
      <c r="C33" s="11"/>
      <c r="D33" s="11"/>
      <c r="E33" s="11"/>
      <c r="F33" s="11"/>
      <c r="G33" s="11"/>
      <c r="H33" s="11"/>
      <c r="I33" s="11"/>
      <c r="J33" s="11"/>
      <c r="K33" s="11"/>
      <c r="L33" s="11"/>
      <c r="M33" s="11"/>
      <c r="N33" s="11"/>
      <c r="O33" s="11"/>
      <c r="P33" s="11"/>
      <c r="Q33" s="11"/>
      <c r="R33" s="11"/>
      <c r="S33" s="11"/>
      <c r="T33" s="11"/>
      <c r="U33" s="9"/>
      <c r="V33" s="8"/>
      <c r="W33" s="465" t="str">
        <f t="shared" si="0"/>
        <v>20% AEP</v>
      </c>
      <c r="X33" s="455"/>
      <c r="Y33" s="464"/>
      <c r="Z33" s="462"/>
      <c r="AA33" s="462"/>
      <c r="AB33" s="462"/>
      <c r="AC33" s="462"/>
      <c r="AD33" s="462"/>
      <c r="AE33" s="463"/>
      <c r="AF33" s="11"/>
      <c r="AG33" s="11"/>
      <c r="AH33" s="11"/>
      <c r="AI33" s="11"/>
      <c r="AJ33" s="9"/>
    </row>
    <row r="34" spans="1:36" x14ac:dyDescent="0.3">
      <c r="A34" s="8"/>
      <c r="B34" s="11"/>
      <c r="C34" s="11"/>
      <c r="D34" s="11"/>
      <c r="E34" s="11"/>
      <c r="F34" s="11"/>
      <c r="G34" s="11"/>
      <c r="H34" s="11"/>
      <c r="I34" s="11"/>
      <c r="J34" s="11"/>
      <c r="K34" s="11"/>
      <c r="L34" s="11"/>
      <c r="M34" s="11"/>
      <c r="N34" s="11"/>
      <c r="O34" s="11"/>
      <c r="P34" s="11"/>
      <c r="Q34" s="11"/>
      <c r="R34" s="11"/>
      <c r="S34" s="11"/>
      <c r="T34" s="11"/>
      <c r="U34" s="9"/>
      <c r="V34" s="8"/>
      <c r="W34" s="466" t="str">
        <f t="shared" si="0"/>
        <v>50% AEP</v>
      </c>
      <c r="X34" s="455"/>
      <c r="Y34" s="464"/>
      <c r="Z34" s="462"/>
      <c r="AA34" s="462"/>
      <c r="AB34" s="462"/>
      <c r="AC34" s="462"/>
      <c r="AD34" s="462"/>
      <c r="AE34" s="463"/>
      <c r="AF34" s="11"/>
      <c r="AG34" s="11"/>
      <c r="AH34" s="11"/>
      <c r="AI34" s="11"/>
      <c r="AJ34" s="9"/>
    </row>
    <row r="35" spans="1:36" x14ac:dyDescent="0.3">
      <c r="A35" s="8"/>
      <c r="B35" s="11"/>
      <c r="C35" s="11"/>
      <c r="D35" s="11"/>
      <c r="E35" s="11"/>
      <c r="F35" s="11"/>
      <c r="G35" s="11"/>
      <c r="H35" s="11"/>
      <c r="I35" s="11"/>
      <c r="J35" s="11"/>
      <c r="K35" s="11"/>
      <c r="L35" s="11"/>
      <c r="M35" s="11"/>
      <c r="N35" s="11"/>
      <c r="O35" s="11"/>
      <c r="P35" s="11"/>
      <c r="Q35" s="11"/>
      <c r="R35" s="11"/>
      <c r="S35" s="11"/>
      <c r="T35" s="11"/>
      <c r="U35" s="9"/>
      <c r="V35" s="8"/>
      <c r="W35" s="466" t="str">
        <f t="shared" si="0"/>
        <v>100% AEP</v>
      </c>
      <c r="X35" s="455"/>
      <c r="Y35" s="464"/>
      <c r="Z35" s="462"/>
      <c r="AA35" s="462"/>
      <c r="AB35" s="462"/>
      <c r="AC35" s="462"/>
      <c r="AD35" s="462"/>
      <c r="AE35" s="463"/>
      <c r="AF35" s="11"/>
      <c r="AG35" s="11"/>
      <c r="AH35" s="11"/>
      <c r="AI35" s="11"/>
      <c r="AJ35" s="9"/>
    </row>
    <row r="36" spans="1:36" ht="15" thickBot="1" x14ac:dyDescent="0.35">
      <c r="A36" s="8"/>
      <c r="B36" s="11"/>
      <c r="C36" s="11"/>
      <c r="D36" s="11"/>
      <c r="E36" s="11"/>
      <c r="F36" s="11"/>
      <c r="G36" s="11"/>
      <c r="H36" s="11"/>
      <c r="I36" s="11"/>
      <c r="J36" s="11"/>
      <c r="K36" s="11"/>
      <c r="L36" s="11"/>
      <c r="M36" s="11"/>
      <c r="N36" s="11"/>
      <c r="O36" s="11"/>
      <c r="P36" s="11"/>
      <c r="Q36" s="11"/>
      <c r="R36" s="11"/>
      <c r="S36" s="11"/>
      <c r="T36" s="11"/>
      <c r="U36" s="9"/>
      <c r="V36" s="8"/>
      <c r="W36" s="468" t="s">
        <v>405</v>
      </c>
      <c r="X36" s="460"/>
      <c r="Y36" s="460"/>
      <c r="Z36" s="460"/>
      <c r="AA36" s="460"/>
      <c r="AB36" s="460"/>
      <c r="AC36" s="460"/>
      <c r="AD36" s="460"/>
      <c r="AE36" s="461"/>
      <c r="AF36" s="11"/>
      <c r="AG36" s="11"/>
      <c r="AH36" s="11"/>
      <c r="AI36" s="11"/>
      <c r="AJ36" s="9"/>
    </row>
    <row r="37" spans="1:36" ht="15" thickBot="1" x14ac:dyDescent="0.35">
      <c r="A37" s="8"/>
      <c r="B37" s="11"/>
      <c r="C37" s="11"/>
      <c r="D37" s="11"/>
      <c r="E37" s="11"/>
      <c r="F37" s="11"/>
      <c r="G37" s="11"/>
      <c r="H37" s="11"/>
      <c r="I37" s="11"/>
      <c r="J37" s="11"/>
      <c r="K37" s="11"/>
      <c r="L37" s="11"/>
      <c r="M37" s="11"/>
      <c r="N37" s="11"/>
      <c r="O37" s="11"/>
      <c r="P37" s="11"/>
      <c r="Q37" s="11"/>
      <c r="R37" s="11"/>
      <c r="S37" s="11"/>
      <c r="T37" s="11"/>
      <c r="U37" s="9"/>
      <c r="V37" s="8"/>
      <c r="W37" s="11"/>
      <c r="X37" s="11"/>
      <c r="Y37" s="11"/>
      <c r="Z37" s="11"/>
      <c r="AA37" s="11"/>
      <c r="AB37" s="11"/>
      <c r="AC37" s="11"/>
      <c r="AD37" s="11"/>
      <c r="AE37" s="11"/>
      <c r="AF37" s="11"/>
      <c r="AG37" s="11"/>
      <c r="AH37" s="11"/>
      <c r="AI37" s="11"/>
      <c r="AJ37" s="9"/>
    </row>
    <row r="38" spans="1:36" ht="19.95" customHeight="1" thickBot="1" x14ac:dyDescent="0.35">
      <c r="A38" s="8"/>
      <c r="B38" s="11"/>
      <c r="C38" s="11"/>
      <c r="D38" s="11"/>
      <c r="E38" s="11"/>
      <c r="F38" s="11"/>
      <c r="G38" s="11"/>
      <c r="H38" s="11"/>
      <c r="I38" s="11"/>
      <c r="J38" s="11"/>
      <c r="K38" s="11"/>
      <c r="L38" s="11"/>
      <c r="M38" s="11"/>
      <c r="N38" s="11"/>
      <c r="O38" s="11"/>
      <c r="P38" s="11"/>
      <c r="Q38" s="11"/>
      <c r="R38" s="11"/>
      <c r="S38" s="11"/>
      <c r="T38" s="11"/>
      <c r="U38" s="9"/>
      <c r="V38" s="8"/>
      <c r="W38" s="797" t="s">
        <v>427</v>
      </c>
      <c r="X38" s="798"/>
      <c r="Y38" s="798"/>
      <c r="Z38" s="798"/>
      <c r="AA38" s="798"/>
      <c r="AB38" s="798"/>
      <c r="AC38" s="798"/>
      <c r="AD38" s="798"/>
      <c r="AE38" s="798"/>
      <c r="AF38" s="799"/>
      <c r="AG38" s="11"/>
      <c r="AH38" s="11"/>
      <c r="AI38" s="11"/>
      <c r="AJ38" s="9"/>
    </row>
    <row r="39" spans="1:36" x14ac:dyDescent="0.3">
      <c r="A39" s="8"/>
      <c r="B39" s="11"/>
      <c r="C39" s="11"/>
      <c r="D39" s="11"/>
      <c r="E39" s="11"/>
      <c r="F39" s="11"/>
      <c r="G39" s="11"/>
      <c r="H39" s="11"/>
      <c r="I39" s="11"/>
      <c r="J39" s="11"/>
      <c r="K39" s="11"/>
      <c r="L39" s="11"/>
      <c r="M39" s="11"/>
      <c r="N39" s="11"/>
      <c r="O39" s="11"/>
      <c r="P39" s="11"/>
      <c r="Q39" s="11"/>
      <c r="R39" s="11"/>
      <c r="S39" s="11"/>
      <c r="T39" s="11"/>
      <c r="U39" s="9"/>
      <c r="V39" s="8"/>
      <c r="W39" s="772" t="s">
        <v>394</v>
      </c>
      <c r="X39" s="780" t="s">
        <v>412</v>
      </c>
      <c r="Y39" s="780" t="s">
        <v>413</v>
      </c>
      <c r="Z39" s="780" t="s">
        <v>547</v>
      </c>
      <c r="AA39" s="774" t="s">
        <v>411</v>
      </c>
      <c r="AB39" s="775"/>
      <c r="AC39" s="775"/>
      <c r="AD39" s="775"/>
      <c r="AE39" s="775"/>
      <c r="AF39" s="776"/>
      <c r="AG39" s="11"/>
      <c r="AH39" s="11"/>
      <c r="AI39" s="11"/>
      <c r="AJ39" s="9"/>
    </row>
    <row r="40" spans="1:36" ht="28.8" x14ac:dyDescent="0.3">
      <c r="A40" s="8"/>
      <c r="B40" s="11"/>
      <c r="C40" s="11"/>
      <c r="D40" s="11"/>
      <c r="E40" s="11"/>
      <c r="F40" s="11"/>
      <c r="G40" s="11"/>
      <c r="H40" s="11"/>
      <c r="I40" s="11"/>
      <c r="J40" s="11"/>
      <c r="K40" s="11"/>
      <c r="L40" s="11"/>
      <c r="M40" s="11"/>
      <c r="N40" s="11"/>
      <c r="O40" s="11"/>
      <c r="P40" s="11"/>
      <c r="Q40" s="11"/>
      <c r="R40" s="11"/>
      <c r="S40" s="11"/>
      <c r="T40" s="11"/>
      <c r="U40" s="9"/>
      <c r="V40" s="8"/>
      <c r="W40" s="773"/>
      <c r="X40" s="781"/>
      <c r="Y40" s="781"/>
      <c r="Z40" s="781"/>
      <c r="AA40" s="473" t="s">
        <v>414</v>
      </c>
      <c r="AB40" s="473" t="s">
        <v>415</v>
      </c>
      <c r="AC40" s="473" t="s">
        <v>416</v>
      </c>
      <c r="AD40" s="473" t="s">
        <v>417</v>
      </c>
      <c r="AE40" s="473" t="s">
        <v>418</v>
      </c>
      <c r="AF40" s="474" t="s">
        <v>419</v>
      </c>
      <c r="AG40" s="11"/>
      <c r="AH40" s="11"/>
      <c r="AI40" s="11"/>
      <c r="AJ40" s="9"/>
    </row>
    <row r="41" spans="1:36" x14ac:dyDescent="0.3">
      <c r="A41" s="8"/>
      <c r="B41" s="11"/>
      <c r="C41" s="11"/>
      <c r="D41" s="11"/>
      <c r="E41" s="11"/>
      <c r="F41" s="11"/>
      <c r="G41" s="11"/>
      <c r="H41" s="11"/>
      <c r="I41" s="11"/>
      <c r="J41" s="11"/>
      <c r="K41" s="11"/>
      <c r="L41" s="11"/>
      <c r="M41" s="11"/>
      <c r="N41" s="11"/>
      <c r="O41" s="11"/>
      <c r="P41" s="11"/>
      <c r="Q41" s="11"/>
      <c r="R41" s="11"/>
      <c r="S41" s="11"/>
      <c r="T41" s="11"/>
      <c r="U41" s="9"/>
      <c r="V41" s="8"/>
      <c r="W41" s="769" t="s">
        <v>420</v>
      </c>
      <c r="X41" s="770"/>
      <c r="Y41" s="770"/>
      <c r="Z41" s="770"/>
      <c r="AA41" s="770"/>
      <c r="AB41" s="770"/>
      <c r="AC41" s="770"/>
      <c r="AD41" s="770"/>
      <c r="AE41" s="770"/>
      <c r="AF41" s="771"/>
      <c r="AG41" s="11"/>
      <c r="AH41" s="11"/>
      <c r="AI41" s="11"/>
      <c r="AJ41" s="9"/>
    </row>
    <row r="42" spans="1:36" x14ac:dyDescent="0.3">
      <c r="A42" s="8"/>
      <c r="B42" s="11"/>
      <c r="C42" s="11"/>
      <c r="D42" s="11"/>
      <c r="E42" s="11"/>
      <c r="F42" s="11"/>
      <c r="G42" s="11"/>
      <c r="H42" s="11"/>
      <c r="I42" s="11"/>
      <c r="J42" s="11"/>
      <c r="K42" s="11"/>
      <c r="L42" s="11"/>
      <c r="M42" s="11"/>
      <c r="N42" s="11"/>
      <c r="O42" s="11"/>
      <c r="P42" s="11"/>
      <c r="Q42" s="11"/>
      <c r="R42" s="11"/>
      <c r="S42" s="11"/>
      <c r="T42" s="11"/>
      <c r="U42" s="9"/>
      <c r="V42" s="8"/>
      <c r="W42" s="469" t="str">
        <f>W26</f>
        <v>PMF</v>
      </c>
      <c r="X42" s="456"/>
      <c r="Y42" s="456"/>
      <c r="Z42" s="456"/>
      <c r="AA42" s="456"/>
      <c r="AB42" s="456"/>
      <c r="AC42" s="456"/>
      <c r="AD42" s="456"/>
      <c r="AE42" s="456"/>
      <c r="AF42" s="457"/>
      <c r="AG42" s="11"/>
      <c r="AH42" s="11"/>
      <c r="AI42" s="11"/>
      <c r="AJ42" s="9"/>
    </row>
    <row r="43" spans="1:36" x14ac:dyDescent="0.3">
      <c r="A43" s="8"/>
      <c r="B43" s="11"/>
      <c r="C43" s="11"/>
      <c r="D43" s="11"/>
      <c r="E43" s="11"/>
      <c r="F43" s="11"/>
      <c r="G43" s="11"/>
      <c r="H43" s="11"/>
      <c r="I43" s="11"/>
      <c r="J43" s="11"/>
      <c r="K43" s="11"/>
      <c r="L43" s="11"/>
      <c r="M43" s="11"/>
      <c r="N43" s="11"/>
      <c r="O43" s="11"/>
      <c r="P43" s="11"/>
      <c r="Q43" s="11"/>
      <c r="R43" s="11"/>
      <c r="S43" s="11"/>
      <c r="T43" s="11"/>
      <c r="U43" s="9"/>
      <c r="V43" s="8"/>
      <c r="W43" s="469" t="str">
        <f t="shared" ref="W43:W51" si="1">W27</f>
        <v>0.2% AEP</v>
      </c>
      <c r="X43" s="456"/>
      <c r="Y43" s="456"/>
      <c r="Z43" s="456"/>
      <c r="AA43" s="456"/>
      <c r="AB43" s="456"/>
      <c r="AC43" s="456"/>
      <c r="AD43" s="456"/>
      <c r="AE43" s="456"/>
      <c r="AF43" s="457"/>
      <c r="AG43" s="11"/>
      <c r="AH43" s="11"/>
      <c r="AI43" s="11"/>
      <c r="AJ43" s="9"/>
    </row>
    <row r="44" spans="1:36" x14ac:dyDescent="0.3">
      <c r="A44" s="8"/>
      <c r="B44" s="800" t="s">
        <v>373</v>
      </c>
      <c r="C44" s="800"/>
      <c r="D44" s="800"/>
      <c r="E44" s="800"/>
      <c r="F44" s="800"/>
      <c r="G44" s="11"/>
      <c r="H44" s="801"/>
      <c r="I44" s="801"/>
      <c r="J44" s="801"/>
      <c r="K44" s="801"/>
      <c r="L44" s="801"/>
      <c r="M44" s="801"/>
      <c r="N44" s="11"/>
      <c r="O44" s="801"/>
      <c r="P44" s="801"/>
      <c r="Q44" s="801"/>
      <c r="R44" s="801"/>
      <c r="S44" s="801"/>
      <c r="T44" s="11"/>
      <c r="U44" s="9"/>
      <c r="V44" s="8"/>
      <c r="W44" s="469" t="str">
        <f t="shared" si="1"/>
        <v>0.5% AEP</v>
      </c>
      <c r="X44" s="456"/>
      <c r="Y44" s="456"/>
      <c r="Z44" s="456"/>
      <c r="AA44" s="456"/>
      <c r="AB44" s="456"/>
      <c r="AC44" s="456"/>
      <c r="AD44" s="456"/>
      <c r="AE44" s="456"/>
      <c r="AF44" s="457"/>
      <c r="AG44" s="11"/>
      <c r="AH44" s="11"/>
      <c r="AI44" s="11"/>
      <c r="AJ44" s="9"/>
    </row>
    <row r="45" spans="1:36" x14ac:dyDescent="0.3">
      <c r="A45" s="8"/>
      <c r="B45" s="800"/>
      <c r="C45" s="800"/>
      <c r="D45" s="800"/>
      <c r="E45" s="800"/>
      <c r="F45" s="800"/>
      <c r="G45" s="11"/>
      <c r="H45" s="801"/>
      <c r="I45" s="801"/>
      <c r="J45" s="801"/>
      <c r="K45" s="801"/>
      <c r="L45" s="801"/>
      <c r="M45" s="801"/>
      <c r="N45" s="11"/>
      <c r="O45" s="801"/>
      <c r="P45" s="801"/>
      <c r="Q45" s="801"/>
      <c r="R45" s="801"/>
      <c r="S45" s="801"/>
      <c r="T45" s="11"/>
      <c r="U45" s="9"/>
      <c r="V45" s="8"/>
      <c r="W45" s="469" t="str">
        <f t="shared" si="1"/>
        <v>1% AEP</v>
      </c>
      <c r="X45" s="456"/>
      <c r="Y45" s="456"/>
      <c r="Z45" s="456"/>
      <c r="AA45" s="456"/>
      <c r="AB45" s="456"/>
      <c r="AC45" s="456"/>
      <c r="AD45" s="456"/>
      <c r="AE45" s="456"/>
      <c r="AF45" s="457"/>
      <c r="AG45" s="11"/>
      <c r="AH45" s="11"/>
      <c r="AI45" s="11"/>
      <c r="AJ45" s="9"/>
    </row>
    <row r="46" spans="1:36" x14ac:dyDescent="0.3">
      <c r="A46" s="8"/>
      <c r="B46" s="800"/>
      <c r="C46" s="800"/>
      <c r="D46" s="800"/>
      <c r="E46" s="800"/>
      <c r="F46" s="800"/>
      <c r="G46" s="11"/>
      <c r="H46" s="801"/>
      <c r="I46" s="801"/>
      <c r="J46" s="801"/>
      <c r="K46" s="801"/>
      <c r="L46" s="801"/>
      <c r="M46" s="801"/>
      <c r="N46" s="11"/>
      <c r="O46" s="801"/>
      <c r="P46" s="801"/>
      <c r="Q46" s="801"/>
      <c r="R46" s="801"/>
      <c r="S46" s="801"/>
      <c r="T46" s="11"/>
      <c r="U46" s="9"/>
      <c r="V46" s="8"/>
      <c r="W46" s="469" t="str">
        <f t="shared" si="1"/>
        <v>2% AEP</v>
      </c>
      <c r="X46" s="456"/>
      <c r="Y46" s="456"/>
      <c r="Z46" s="456"/>
      <c r="AA46" s="456"/>
      <c r="AB46" s="456"/>
      <c r="AC46" s="456"/>
      <c r="AD46" s="456"/>
      <c r="AE46" s="456"/>
      <c r="AF46" s="457"/>
      <c r="AG46" s="11"/>
      <c r="AH46" s="11"/>
      <c r="AI46" s="11"/>
      <c r="AJ46" s="9"/>
    </row>
    <row r="47" spans="1:36" x14ac:dyDescent="0.3">
      <c r="A47" s="8"/>
      <c r="B47" s="800"/>
      <c r="C47" s="800"/>
      <c r="D47" s="800"/>
      <c r="E47" s="800"/>
      <c r="F47" s="800"/>
      <c r="G47" s="11"/>
      <c r="H47" s="801"/>
      <c r="I47" s="801"/>
      <c r="J47" s="801"/>
      <c r="K47" s="801"/>
      <c r="L47" s="801"/>
      <c r="M47" s="801"/>
      <c r="N47" s="11"/>
      <c r="O47" s="801"/>
      <c r="P47" s="801"/>
      <c r="Q47" s="801"/>
      <c r="R47" s="801"/>
      <c r="S47" s="801"/>
      <c r="T47" s="11"/>
      <c r="U47" s="9"/>
      <c r="V47" s="8"/>
      <c r="W47" s="469" t="str">
        <f t="shared" si="1"/>
        <v>5% AEP</v>
      </c>
      <c r="X47" s="456"/>
      <c r="Y47" s="456"/>
      <c r="Z47" s="456"/>
      <c r="AA47" s="456"/>
      <c r="AB47" s="456"/>
      <c r="AC47" s="456"/>
      <c r="AD47" s="456"/>
      <c r="AE47" s="456"/>
      <c r="AF47" s="457"/>
      <c r="AG47" s="11"/>
      <c r="AH47" s="11"/>
      <c r="AI47" s="11"/>
      <c r="AJ47" s="9"/>
    </row>
    <row r="48" spans="1:36" x14ac:dyDescent="0.3">
      <c r="A48" s="8"/>
      <c r="B48" s="11"/>
      <c r="C48" s="11"/>
      <c r="D48" s="11"/>
      <c r="E48" s="11"/>
      <c r="F48" s="11"/>
      <c r="G48" s="11"/>
      <c r="H48" s="11"/>
      <c r="I48" s="11"/>
      <c r="J48" s="11"/>
      <c r="K48" s="11"/>
      <c r="L48" s="11"/>
      <c r="M48" s="11"/>
      <c r="N48" s="11"/>
      <c r="O48" s="11"/>
      <c r="P48" s="11"/>
      <c r="Q48" s="11"/>
      <c r="R48" s="11"/>
      <c r="S48" s="11"/>
      <c r="T48" s="11"/>
      <c r="U48" s="9"/>
      <c r="V48" s="8"/>
      <c r="W48" s="469" t="str">
        <f t="shared" si="1"/>
        <v>10% AEP</v>
      </c>
      <c r="X48" s="456"/>
      <c r="Y48" s="456"/>
      <c r="Z48" s="456"/>
      <c r="AA48" s="456"/>
      <c r="AB48" s="456"/>
      <c r="AC48" s="456"/>
      <c r="AD48" s="456"/>
      <c r="AE48" s="456"/>
      <c r="AF48" s="457"/>
      <c r="AG48" s="11"/>
      <c r="AH48" s="11"/>
      <c r="AI48" s="11"/>
      <c r="AJ48" s="9"/>
    </row>
    <row r="49" spans="1:36" x14ac:dyDescent="0.3">
      <c r="A49" s="8"/>
      <c r="B49" s="11"/>
      <c r="C49" s="11"/>
      <c r="D49" s="11"/>
      <c r="E49" s="11"/>
      <c r="F49" s="11"/>
      <c r="G49" s="11"/>
      <c r="H49" s="11"/>
      <c r="I49" s="11"/>
      <c r="J49" s="11"/>
      <c r="K49" s="11"/>
      <c r="L49" s="11"/>
      <c r="M49" s="11"/>
      <c r="N49" s="11"/>
      <c r="O49" s="11"/>
      <c r="P49" s="11"/>
      <c r="Q49" s="11"/>
      <c r="R49" s="11"/>
      <c r="S49" s="11"/>
      <c r="T49" s="11"/>
      <c r="U49" s="9"/>
      <c r="V49" s="8"/>
      <c r="W49" s="469" t="str">
        <f>W33</f>
        <v>20% AEP</v>
      </c>
      <c r="X49" s="462"/>
      <c r="Y49" s="462"/>
      <c r="Z49" s="462"/>
      <c r="AA49" s="462"/>
      <c r="AB49" s="462"/>
      <c r="AC49" s="462"/>
      <c r="AD49" s="462"/>
      <c r="AE49" s="462"/>
      <c r="AF49" s="463"/>
      <c r="AG49" s="11"/>
      <c r="AH49" s="11"/>
      <c r="AI49" s="11"/>
      <c r="AJ49" s="9"/>
    </row>
    <row r="50" spans="1:36" x14ac:dyDescent="0.3">
      <c r="A50" s="8"/>
      <c r="B50" s="11"/>
      <c r="C50" s="11"/>
      <c r="D50" s="11"/>
      <c r="E50" s="11"/>
      <c r="F50" s="11"/>
      <c r="G50" s="11"/>
      <c r="H50" s="11"/>
      <c r="I50" s="11"/>
      <c r="J50" s="11"/>
      <c r="K50" s="11"/>
      <c r="L50" s="11"/>
      <c r="M50" s="11"/>
      <c r="N50" s="11"/>
      <c r="O50" s="11"/>
      <c r="P50" s="11"/>
      <c r="Q50" s="11"/>
      <c r="R50" s="11"/>
      <c r="S50" s="11"/>
      <c r="T50" s="11"/>
      <c r="U50" s="9"/>
      <c r="V50" s="8"/>
      <c r="W50" s="469" t="str">
        <f t="shared" si="1"/>
        <v>50% AEP</v>
      </c>
      <c r="X50" s="462"/>
      <c r="Y50" s="462"/>
      <c r="Z50" s="462"/>
      <c r="AA50" s="462"/>
      <c r="AB50" s="462"/>
      <c r="AC50" s="462"/>
      <c r="AD50" s="462"/>
      <c r="AE50" s="462"/>
      <c r="AF50" s="463"/>
      <c r="AG50" s="11"/>
      <c r="AH50" s="11"/>
      <c r="AI50" s="11"/>
      <c r="AJ50" s="9"/>
    </row>
    <row r="51" spans="1:36" x14ac:dyDescent="0.3">
      <c r="A51" s="8"/>
      <c r="B51" s="11"/>
      <c r="C51" s="11"/>
      <c r="D51" s="11"/>
      <c r="E51" s="11"/>
      <c r="F51" s="11"/>
      <c r="G51" s="11"/>
      <c r="H51" s="11"/>
      <c r="I51" s="11"/>
      <c r="J51" s="11"/>
      <c r="K51" s="11"/>
      <c r="L51" s="11"/>
      <c r="M51" s="11"/>
      <c r="N51" s="11"/>
      <c r="O51" s="11"/>
      <c r="P51" s="11"/>
      <c r="Q51" s="11"/>
      <c r="R51" s="11"/>
      <c r="S51" s="11"/>
      <c r="T51" s="11"/>
      <c r="U51" s="9"/>
      <c r="V51" s="8"/>
      <c r="W51" s="469" t="str">
        <f t="shared" si="1"/>
        <v>100% AEP</v>
      </c>
      <c r="X51" s="462"/>
      <c r="Y51" s="462"/>
      <c r="Z51" s="462"/>
      <c r="AA51" s="462"/>
      <c r="AB51" s="462"/>
      <c r="AC51" s="462"/>
      <c r="AD51" s="462"/>
      <c r="AE51" s="462"/>
      <c r="AF51" s="463"/>
      <c r="AG51" s="11"/>
      <c r="AH51" s="11"/>
      <c r="AI51" s="11"/>
      <c r="AJ51" s="9"/>
    </row>
    <row r="52" spans="1:36" ht="15" thickBot="1" x14ac:dyDescent="0.35">
      <c r="A52" s="8"/>
      <c r="B52" s="11"/>
      <c r="C52" s="11"/>
      <c r="D52" s="11"/>
      <c r="E52" s="11"/>
      <c r="F52" s="11"/>
      <c r="G52" s="11"/>
      <c r="H52" s="11"/>
      <c r="I52" s="11"/>
      <c r="J52" s="11"/>
      <c r="K52" s="11"/>
      <c r="L52" s="11"/>
      <c r="M52" s="11"/>
      <c r="N52" s="11"/>
      <c r="O52" s="11"/>
      <c r="P52" s="11"/>
      <c r="Q52" s="11"/>
      <c r="R52" s="11"/>
      <c r="S52" s="11"/>
      <c r="T52" s="11"/>
      <c r="U52" s="9"/>
      <c r="V52" s="8"/>
      <c r="W52" s="470" t="s">
        <v>405</v>
      </c>
      <c r="X52" s="460"/>
      <c r="Y52" s="460"/>
      <c r="Z52" s="460"/>
      <c r="AA52" s="460"/>
      <c r="AB52" s="460"/>
      <c r="AC52" s="460"/>
      <c r="AD52" s="460"/>
      <c r="AE52" s="460"/>
      <c r="AF52" s="461"/>
      <c r="AG52" s="11"/>
      <c r="AH52" s="11"/>
      <c r="AI52" s="11"/>
      <c r="AJ52" s="9"/>
    </row>
    <row r="53" spans="1:36" ht="15" thickBot="1" x14ac:dyDescent="0.35">
      <c r="A53" s="12"/>
      <c r="B53" s="13"/>
      <c r="C53" s="13"/>
      <c r="D53" s="13"/>
      <c r="E53" s="13"/>
      <c r="F53" s="13"/>
      <c r="G53" s="13"/>
      <c r="H53" s="13"/>
      <c r="I53" s="13"/>
      <c r="J53" s="13"/>
      <c r="K53" s="13"/>
      <c r="L53" s="13"/>
      <c r="M53" s="13"/>
      <c r="N53" s="13"/>
      <c r="O53" s="13"/>
      <c r="P53" s="13"/>
      <c r="Q53" s="13"/>
      <c r="R53" s="13"/>
      <c r="S53" s="13"/>
      <c r="T53" s="13"/>
      <c r="U53" s="14"/>
      <c r="V53" s="12"/>
      <c r="W53" s="13"/>
      <c r="X53" s="13"/>
      <c r="Y53" s="13"/>
      <c r="Z53" s="13"/>
      <c r="AA53" s="13"/>
      <c r="AB53" s="13"/>
      <c r="AC53" s="13"/>
      <c r="AD53" s="13"/>
      <c r="AE53" s="13"/>
      <c r="AF53" s="13"/>
      <c r="AG53" s="13"/>
      <c r="AH53" s="13"/>
      <c r="AI53" s="13"/>
      <c r="AJ53" s="14"/>
    </row>
  </sheetData>
  <sheetProtection algorithmName="SHA-512" hashValue="1b/tbqg1AZApD1sqhd7T5brCmxQqZwTW8PRpdG2H/CIvoGXqjLrCO5n4ASIqLij88d9VYJkw26+Tn8Q7126B3A==" saltValue="yePSv3VW+hRM9nXXSq/ciA==" spinCount="100000" sheet="1" objects="1" scenarios="1"/>
  <mergeCells count="29">
    <mergeCell ref="B2:T2"/>
    <mergeCell ref="B44:F47"/>
    <mergeCell ref="H44:M47"/>
    <mergeCell ref="O44:S47"/>
    <mergeCell ref="B3:D3"/>
    <mergeCell ref="W41:AF41"/>
    <mergeCell ref="W7:W8"/>
    <mergeCell ref="AA7:AG7"/>
    <mergeCell ref="W9:AG9"/>
    <mergeCell ref="W23:W24"/>
    <mergeCell ref="AB23:AE23"/>
    <mergeCell ref="W22:AE22"/>
    <mergeCell ref="W38:AF38"/>
    <mergeCell ref="X7:X8"/>
    <mergeCell ref="Y7:Y8"/>
    <mergeCell ref="Z7:Z8"/>
    <mergeCell ref="X23:X24"/>
    <mergeCell ref="W2:AI2"/>
    <mergeCell ref="W3:AI3"/>
    <mergeCell ref="W25:AE25"/>
    <mergeCell ref="W39:W40"/>
    <mergeCell ref="AA39:AF39"/>
    <mergeCell ref="W6:AG6"/>
    <mergeCell ref="Y23:Y24"/>
    <mergeCell ref="Z23:Z24"/>
    <mergeCell ref="AA23:AA24"/>
    <mergeCell ref="Z39:Z40"/>
    <mergeCell ref="X39:X40"/>
    <mergeCell ref="Y39:Y40"/>
  </mergeCells>
  <pageMargins left="0.7" right="0.7" top="0.75" bottom="0.75" header="0.3" footer="0.3"/>
  <pageSetup scale="61" orientation="landscape" r:id="rId1"/>
  <colBreaks count="1" manualBreakCount="1">
    <brk id="21"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7F77B-83A2-41E1-A3BC-BFBD1534468A}">
  <sheetPr>
    <tabColor theme="5" tint="0.59999389629810485"/>
  </sheetPr>
  <dimension ref="A1:AD157"/>
  <sheetViews>
    <sheetView zoomScale="85" zoomScaleNormal="85" workbookViewId="0">
      <selection activeCell="W52" sqref="W52"/>
    </sheetView>
  </sheetViews>
  <sheetFormatPr defaultRowHeight="14.4" x14ac:dyDescent="0.3"/>
  <cols>
    <col min="1" max="1" width="3" customWidth="1"/>
    <col min="2" max="2" width="18.77734375" customWidth="1"/>
    <col min="3" max="9" width="9.21875" customWidth="1"/>
    <col min="10" max="11" width="3" customWidth="1"/>
    <col min="12" max="12" width="18.77734375" customWidth="1"/>
    <col min="20" max="21" width="3" customWidth="1"/>
    <col min="22" max="22" width="18.77734375" customWidth="1"/>
    <col min="23" max="24" width="9.21875" customWidth="1"/>
    <col min="25" max="27" width="9.21875" style="54" customWidth="1"/>
    <col min="28" max="29" width="8.77734375" style="54"/>
    <col min="30" max="30" width="3" customWidth="1"/>
  </cols>
  <sheetData>
    <row r="1" spans="1:30" ht="15" thickBot="1" x14ac:dyDescent="0.35">
      <c r="A1" s="51"/>
      <c r="C1" s="51"/>
      <c r="D1" s="51"/>
      <c r="E1" s="51"/>
      <c r="F1" s="51"/>
      <c r="G1" s="51"/>
      <c r="H1" s="51"/>
      <c r="I1" s="51"/>
      <c r="J1" s="51"/>
      <c r="K1" s="51"/>
      <c r="L1" s="51"/>
      <c r="M1" s="51"/>
      <c r="N1" s="51"/>
      <c r="O1" s="51"/>
      <c r="P1" s="51"/>
      <c r="Q1" s="51"/>
      <c r="R1" s="51"/>
      <c r="S1" s="51"/>
      <c r="T1" s="51"/>
      <c r="U1" s="52"/>
      <c r="V1" s="52"/>
      <c r="W1" s="52"/>
      <c r="X1" s="52"/>
      <c r="Y1" s="53"/>
      <c r="Z1" s="53"/>
      <c r="AA1" s="53"/>
      <c r="AB1" s="53"/>
      <c r="AC1" s="53"/>
      <c r="AD1" s="52"/>
    </row>
    <row r="2" spans="1:30" ht="24" thickBot="1" x14ac:dyDescent="0.5">
      <c r="B2" s="553" t="s">
        <v>55</v>
      </c>
      <c r="C2" s="554"/>
      <c r="D2" s="554"/>
      <c r="E2" s="554"/>
      <c r="F2" s="554"/>
      <c r="G2" s="554"/>
      <c r="H2" s="554"/>
      <c r="I2" s="555"/>
      <c r="L2" s="553" t="s">
        <v>55</v>
      </c>
      <c r="M2" s="554"/>
      <c r="N2" s="554"/>
      <c r="O2" s="554"/>
      <c r="P2" s="554"/>
      <c r="Q2" s="554"/>
      <c r="R2" s="554"/>
      <c r="S2" s="555"/>
      <c r="V2" s="553" t="s">
        <v>64</v>
      </c>
      <c r="W2" s="554"/>
      <c r="X2" s="554"/>
      <c r="Y2" s="554"/>
      <c r="Z2" s="554"/>
      <c r="AA2" s="554"/>
      <c r="AB2" s="554"/>
      <c r="AC2" s="555"/>
    </row>
    <row r="3" spans="1:30" x14ac:dyDescent="0.3">
      <c r="A3" s="160"/>
      <c r="B3" s="161" t="s">
        <v>290</v>
      </c>
      <c r="C3" s="160"/>
      <c r="D3" s="160"/>
      <c r="E3" s="160"/>
      <c r="F3" s="160"/>
      <c r="G3" s="160"/>
      <c r="H3" s="160"/>
      <c r="I3" s="160"/>
      <c r="J3" s="160"/>
      <c r="K3" s="160"/>
      <c r="L3" s="161" t="s">
        <v>291</v>
      </c>
      <c r="M3" s="160"/>
      <c r="N3" s="160"/>
      <c r="O3" s="160"/>
      <c r="P3" s="160"/>
      <c r="Q3" s="160"/>
      <c r="R3" s="160"/>
      <c r="S3" s="160"/>
      <c r="T3" s="160"/>
      <c r="U3" s="160"/>
      <c r="V3" s="161" t="s">
        <v>63</v>
      </c>
      <c r="W3" s="160"/>
      <c r="X3" s="160"/>
      <c r="AD3" s="160"/>
    </row>
    <row r="4" spans="1:30" ht="15" thickBot="1" x14ac:dyDescent="0.35">
      <c r="B4" s="15"/>
      <c r="L4" s="15"/>
      <c r="Y4" s="181">
        <v>1</v>
      </c>
      <c r="Z4" s="181">
        <v>2</v>
      </c>
      <c r="AA4" s="181">
        <v>3</v>
      </c>
      <c r="AB4" s="181">
        <v>4</v>
      </c>
      <c r="AC4" s="181">
        <v>5</v>
      </c>
    </row>
    <row r="5" spans="1:30" x14ac:dyDescent="0.3">
      <c r="B5" s="178" t="s">
        <v>93</v>
      </c>
      <c r="C5" s="183" t="str">
        <f>"Res"&amp;LEFT(B6)&amp;LEFT(B5)</f>
        <v>Res1T</v>
      </c>
      <c r="D5" s="6"/>
      <c r="E5" s="6"/>
      <c r="F5" s="6"/>
      <c r="G5" s="6"/>
      <c r="H5" s="6"/>
      <c r="I5" s="310" t="s">
        <v>269</v>
      </c>
      <c r="L5" s="178" t="s">
        <v>93</v>
      </c>
      <c r="M5" s="183" t="str">
        <f>"Res"&amp;LEFT(L6)&amp;LEFT(L5)</f>
        <v>Res2T</v>
      </c>
      <c r="N5" s="6"/>
      <c r="O5" s="6"/>
      <c r="P5" s="269"/>
      <c r="Q5" s="6"/>
      <c r="R5" s="6"/>
      <c r="S5" s="310" t="s">
        <v>270</v>
      </c>
      <c r="V5" s="178" t="s">
        <v>93</v>
      </c>
      <c r="W5" s="183" t="str">
        <f>"Com"&amp;LEFT(V6)&amp;LEFT(V5)</f>
        <v>ComT</v>
      </c>
      <c r="X5" s="6"/>
      <c r="Y5" s="802" t="s">
        <v>133</v>
      </c>
      <c r="Z5" s="802"/>
      <c r="AA5" s="802"/>
      <c r="AB5" s="802"/>
      <c r="AC5" s="802"/>
    </row>
    <row r="6" spans="1:30" ht="15" thickBot="1" x14ac:dyDescent="0.35">
      <c r="B6" s="184" t="s">
        <v>124</v>
      </c>
      <c r="C6" s="179" t="s">
        <v>60</v>
      </c>
      <c r="D6" s="179"/>
      <c r="E6" s="179"/>
      <c r="F6" s="179"/>
      <c r="G6" s="179"/>
      <c r="H6" s="179"/>
      <c r="I6" s="180"/>
      <c r="L6" s="184" t="s">
        <v>125</v>
      </c>
      <c r="M6" s="179" t="s">
        <v>60</v>
      </c>
      <c r="N6" s="179"/>
      <c r="O6" s="179"/>
      <c r="P6" s="179"/>
      <c r="Q6" s="179"/>
      <c r="R6" s="179"/>
      <c r="S6" s="180"/>
      <c r="V6" s="184"/>
      <c r="W6" s="326" t="s">
        <v>271</v>
      </c>
      <c r="X6" s="179"/>
      <c r="Y6" s="179"/>
      <c r="Z6" s="179"/>
      <c r="AA6" s="179"/>
      <c r="AB6" s="179"/>
      <c r="AC6" s="370" t="s">
        <v>283</v>
      </c>
    </row>
    <row r="7" spans="1:30" x14ac:dyDescent="0.3">
      <c r="Y7"/>
      <c r="Z7"/>
      <c r="AA7"/>
      <c r="AB7"/>
      <c r="AC7"/>
    </row>
    <row r="8" spans="1:30" x14ac:dyDescent="0.3">
      <c r="Y8"/>
      <c r="Z8"/>
      <c r="AA8"/>
      <c r="AB8"/>
      <c r="AC8"/>
    </row>
    <row r="9" spans="1:30" x14ac:dyDescent="0.3">
      <c r="Y9"/>
      <c r="Z9"/>
      <c r="AA9"/>
      <c r="AB9"/>
      <c r="AC9"/>
    </row>
    <row r="10" spans="1:30" x14ac:dyDescent="0.3">
      <c r="Y10"/>
      <c r="Z10"/>
      <c r="AA10"/>
      <c r="AB10"/>
      <c r="AC10"/>
    </row>
    <row r="11" spans="1:30" x14ac:dyDescent="0.3">
      <c r="Y11"/>
      <c r="Z11"/>
      <c r="AA11"/>
      <c r="AB11"/>
      <c r="AC11"/>
    </row>
    <row r="12" spans="1:30" x14ac:dyDescent="0.3">
      <c r="Y12"/>
      <c r="Z12"/>
      <c r="AA12"/>
      <c r="AB12"/>
      <c r="AC12"/>
    </row>
    <row r="13" spans="1:30" x14ac:dyDescent="0.3">
      <c r="Y13"/>
      <c r="Z13"/>
      <c r="AA13"/>
      <c r="AB13"/>
      <c r="AC13"/>
    </row>
    <row r="14" spans="1:30" x14ac:dyDescent="0.3">
      <c r="Y14"/>
      <c r="Z14"/>
      <c r="AA14"/>
      <c r="AB14"/>
      <c r="AC14"/>
    </row>
    <row r="15" spans="1:30" x14ac:dyDescent="0.3">
      <c r="Y15"/>
      <c r="Z15"/>
      <c r="AA15"/>
      <c r="AB15"/>
      <c r="AC15"/>
    </row>
    <row r="16" spans="1:30" x14ac:dyDescent="0.3">
      <c r="Y16"/>
      <c r="Z16"/>
      <c r="AA16"/>
      <c r="AB16"/>
      <c r="AC16"/>
    </row>
    <row r="17" spans="2:29" x14ac:dyDescent="0.3">
      <c r="Y17"/>
      <c r="Z17"/>
      <c r="AA17"/>
      <c r="AB17"/>
      <c r="AC17"/>
    </row>
    <row r="18" spans="2:29" x14ac:dyDescent="0.3">
      <c r="Y18"/>
      <c r="Z18"/>
      <c r="AA18"/>
      <c r="AB18"/>
      <c r="AC18"/>
    </row>
    <row r="19" spans="2:29" x14ac:dyDescent="0.3">
      <c r="Y19"/>
      <c r="Z19"/>
      <c r="AA19"/>
      <c r="AB19"/>
      <c r="AC19"/>
    </row>
    <row r="20" spans="2:29" x14ac:dyDescent="0.3">
      <c r="Y20"/>
      <c r="Z20"/>
      <c r="AA20"/>
      <c r="AB20"/>
      <c r="AC20"/>
    </row>
    <row r="21" spans="2:29" x14ac:dyDescent="0.3">
      <c r="Y21"/>
      <c r="Z21"/>
      <c r="AA21"/>
      <c r="AB21"/>
      <c r="AC21"/>
    </row>
    <row r="22" spans="2:29" x14ac:dyDescent="0.3">
      <c r="Y22"/>
      <c r="Z22"/>
      <c r="AA22"/>
      <c r="AB22"/>
      <c r="AC22"/>
    </row>
    <row r="23" spans="2:29" x14ac:dyDescent="0.3">
      <c r="Y23"/>
      <c r="Z23"/>
      <c r="AA23"/>
      <c r="AB23"/>
      <c r="AC23"/>
    </row>
    <row r="24" spans="2:29" x14ac:dyDescent="0.3">
      <c r="Y24"/>
      <c r="Z24"/>
      <c r="AA24"/>
      <c r="AB24"/>
      <c r="AC24"/>
    </row>
    <row r="25" spans="2:29" x14ac:dyDescent="0.3">
      <c r="Y25"/>
      <c r="Z25"/>
      <c r="AA25"/>
      <c r="AB25"/>
      <c r="AC25"/>
    </row>
    <row r="26" spans="2:29" x14ac:dyDescent="0.3">
      <c r="Y26"/>
      <c r="Z26"/>
      <c r="AA26"/>
      <c r="AB26"/>
      <c r="AC26"/>
    </row>
    <row r="27" spans="2:29" x14ac:dyDescent="0.3">
      <c r="Y27"/>
      <c r="Z27"/>
      <c r="AA27"/>
      <c r="AB27"/>
      <c r="AC27"/>
    </row>
    <row r="28" spans="2:29" ht="15" thickBot="1" x14ac:dyDescent="0.35">
      <c r="Y28"/>
      <c r="Z28"/>
      <c r="AA28"/>
      <c r="AB28"/>
      <c r="AC28"/>
    </row>
    <row r="29" spans="2:29" ht="15" thickBot="1" x14ac:dyDescent="0.35">
      <c r="C29" s="181">
        <v>1</v>
      </c>
      <c r="D29" s="181">
        <v>2</v>
      </c>
      <c r="E29" s="181">
        <v>3</v>
      </c>
      <c r="F29" s="181">
        <v>4</v>
      </c>
      <c r="G29" s="181">
        <v>5</v>
      </c>
      <c r="H29" s="181">
        <v>6</v>
      </c>
      <c r="I29" s="181">
        <v>7</v>
      </c>
      <c r="M29" s="181">
        <v>1</v>
      </c>
      <c r="N29" s="181">
        <v>2</v>
      </c>
      <c r="O29" s="181">
        <v>3</v>
      </c>
      <c r="P29" s="181">
        <v>4</v>
      </c>
      <c r="Q29" s="181">
        <v>5</v>
      </c>
      <c r="R29" s="181">
        <v>6</v>
      </c>
      <c r="S29" s="181">
        <v>7</v>
      </c>
      <c r="Y29" s="73" t="s">
        <v>132</v>
      </c>
      <c r="Z29" s="190">
        <v>0.4</v>
      </c>
      <c r="AA29" s="191">
        <v>0.6</v>
      </c>
      <c r="AB29" s="191">
        <v>1</v>
      </c>
      <c r="AC29" s="192">
        <v>1.5</v>
      </c>
    </row>
    <row r="30" spans="2:29" ht="29.4" thickBot="1" x14ac:dyDescent="0.35">
      <c r="B30" s="182"/>
      <c r="C30" s="48" t="s">
        <v>58</v>
      </c>
      <c r="D30" s="49" t="s">
        <v>59</v>
      </c>
      <c r="E30" s="241" t="s">
        <v>185</v>
      </c>
      <c r="F30" s="48" t="s">
        <v>42</v>
      </c>
      <c r="G30" s="48" t="s">
        <v>43</v>
      </c>
      <c r="H30" s="48" t="s">
        <v>44</v>
      </c>
      <c r="I30" s="48" t="s">
        <v>313</v>
      </c>
      <c r="M30" s="48" t="s">
        <v>58</v>
      </c>
      <c r="N30" s="49" t="s">
        <v>59</v>
      </c>
      <c r="O30" s="241" t="s">
        <v>185</v>
      </c>
      <c r="P30" s="48" t="s">
        <v>42</v>
      </c>
      <c r="Q30" s="48" t="s">
        <v>43</v>
      </c>
      <c r="R30" s="48" t="s">
        <v>44</v>
      </c>
      <c r="S30" s="48" t="s">
        <v>313</v>
      </c>
      <c r="W30" s="289" t="s">
        <v>130</v>
      </c>
      <c r="Y30" s="194" t="s">
        <v>58</v>
      </c>
      <c r="Z30" s="197" t="s">
        <v>134</v>
      </c>
      <c r="AA30" s="194" t="s">
        <v>129</v>
      </c>
      <c r="AB30" s="194" t="s">
        <v>62</v>
      </c>
      <c r="AC30" s="194" t="s">
        <v>131</v>
      </c>
    </row>
    <row r="31" spans="2:29" x14ac:dyDescent="0.3">
      <c r="C31" s="50">
        <v>-0.3</v>
      </c>
      <c r="D31" s="176"/>
      <c r="E31" s="176"/>
      <c r="F31" s="177">
        <f>SUM(Res1S[[#This Row],[Small]],Res1I[[#This Row],[Small]])</f>
        <v>0</v>
      </c>
      <c r="G31" s="177">
        <f>SUM(Res1S[[#This Row],[Medium]],Res1I[[#This Row],[Medium]])</f>
        <v>0</v>
      </c>
      <c r="H31" s="177">
        <f>SUM(Res1S[[#This Row],[Large]],Res1I[[#This Row],[Large]])</f>
        <v>0</v>
      </c>
      <c r="I31" s="177">
        <f>SUM(Res1S[[#This Row],[Recommended]],Res1I[[#This Row],[Recommended]])</f>
        <v>0</v>
      </c>
      <c r="M31" s="50">
        <v>-0.3</v>
      </c>
      <c r="N31" s="176">
        <v>0</v>
      </c>
      <c r="O31" s="176"/>
      <c r="P31" s="177">
        <f>SUM(Res2S[[#This Row],[Small]],Res2I[[#This Row],[Small]])</f>
        <v>0</v>
      </c>
      <c r="Q31" s="177">
        <f>SUM(Res2S[[#This Row],[Medium]],Res2I[[#This Row],[Medium]])</f>
        <v>0</v>
      </c>
      <c r="R31" s="177">
        <f>SUM(Res2S[[#This Row],[Large]],Res2I[[#This Row],[Large]])</f>
        <v>0</v>
      </c>
      <c r="S31" s="177">
        <f>SUM(Res2S[[#This Row],[Recommended]],Res2I[[#This Row],[Recommended]])</f>
        <v>0</v>
      </c>
      <c r="W31" s="290">
        <v>0</v>
      </c>
      <c r="Y31" s="193">
        <v>-0.3</v>
      </c>
      <c r="Z31" s="195" cm="1">
        <f t="array" ref="Z31">CPI*W31*Z$29+CPI*W31*(IndirectCom)</f>
        <v>0</v>
      </c>
      <c r="AA31" s="195" cm="1">
        <f t="array" ref="AA31">CPI*W31*AA$29+CPI*W31*(IndirectCom)</f>
        <v>0</v>
      </c>
      <c r="AB31" s="196" cm="1">
        <f t="array" ref="AB31">CPI*W31*AB$29+CPI*W31*(IndirectCom)</f>
        <v>0</v>
      </c>
      <c r="AC31" s="195" cm="1">
        <f t="array" ref="AC31">CPI*W31*AC$29+CPI*W31*(IndirectCom)</f>
        <v>0</v>
      </c>
    </row>
    <row r="32" spans="2:29" x14ac:dyDescent="0.3">
      <c r="C32" s="50">
        <v>-0.25</v>
      </c>
      <c r="D32" s="176"/>
      <c r="E32" s="176"/>
      <c r="F32" s="177">
        <f>SUM(Res1S[[#This Row],[Small]],Res1I[[#This Row],[Small]])</f>
        <v>468.30589725036168</v>
      </c>
      <c r="G32" s="177">
        <f>SUM(Res1S[[#This Row],[Medium]],Res1I[[#This Row],[Medium]])</f>
        <v>936.61179450072336</v>
      </c>
      <c r="H32" s="177">
        <f>SUM(Res1S[[#This Row],[Large]],Res1I[[#This Row],[Large]])</f>
        <v>1248.8157260009646</v>
      </c>
      <c r="I32" s="177">
        <f>SUM(Res1S[[#This Row],[Recommended]],Res1I[[#This Row],[Recommended]])</f>
        <v>1144.7477488342174</v>
      </c>
      <c r="M32" s="50">
        <v>-0.25</v>
      </c>
      <c r="N32" s="176">
        <v>1.3864583333333333E-3</v>
      </c>
      <c r="O32" s="176"/>
      <c r="P32" s="177">
        <f>SUM(Res2S[[#This Row],[Small]],Res2I[[#This Row],[Small]])</f>
        <v>257.56824348769896</v>
      </c>
      <c r="Q32" s="177">
        <f>SUM(Res2S[[#This Row],[Medium]],Res2I[[#This Row],[Medium]])</f>
        <v>515.13648697539793</v>
      </c>
      <c r="R32" s="177">
        <f>SUM(Res2S[[#This Row],[Large]],Res2I[[#This Row],[Large]])</f>
        <v>686.84864930053061</v>
      </c>
      <c r="S32" s="177">
        <f>SUM(Res2S[[#This Row],[Recommended]],Res2I[[#This Row],[Recommended]])</f>
        <v>629.61126185881972</v>
      </c>
      <c r="W32" s="291">
        <v>0</v>
      </c>
      <c r="Y32" s="55">
        <v>-0.25</v>
      </c>
      <c r="Z32" s="56" cm="1">
        <f t="array" ref="Z32">CPI*W32*Z$29+CPI*W32*(IndirectCom)</f>
        <v>0</v>
      </c>
      <c r="AA32" s="56" cm="1">
        <f t="array" ref="AA32">CPI*W32*AA$29+CPI*W32*(IndirectCom)</f>
        <v>0</v>
      </c>
      <c r="AB32" s="196" cm="1">
        <f t="array" ref="AB32">CPI*W32*AB$29+CPI*W32*(IndirectCom)</f>
        <v>0</v>
      </c>
      <c r="AC32" s="56" cm="1">
        <f t="array" ref="AC32">CPI*W32*AC$29+CPI*W32*(IndirectCom)</f>
        <v>0</v>
      </c>
    </row>
    <row r="33" spans="3:29" x14ac:dyDescent="0.3">
      <c r="C33" s="50">
        <v>-0.2</v>
      </c>
      <c r="D33" s="176"/>
      <c r="E33" s="176"/>
      <c r="F33" s="177">
        <f>SUM(Res1S[[#This Row],[Small]],Res1I[[#This Row],[Small]])</f>
        <v>936.61179450072336</v>
      </c>
      <c r="G33" s="177">
        <f>SUM(Res1S[[#This Row],[Medium]],Res1I[[#This Row],[Medium]])</f>
        <v>1873.2235890014467</v>
      </c>
      <c r="H33" s="177">
        <f>SUM(Res1S[[#This Row],[Large]],Res1I[[#This Row],[Large]])</f>
        <v>2497.6314520019291</v>
      </c>
      <c r="I33" s="177">
        <f>SUM(Res1S[[#This Row],[Recommended]],Res1I[[#This Row],[Recommended]])</f>
        <v>2289.4954976684348</v>
      </c>
      <c r="M33" s="50">
        <v>-0.2</v>
      </c>
      <c r="N33" s="176">
        <v>2.7729166666666666E-3</v>
      </c>
      <c r="O33" s="176"/>
      <c r="P33" s="177">
        <f>SUM(Res2S[[#This Row],[Small]],Res2I[[#This Row],[Small]])</f>
        <v>515.13648697539793</v>
      </c>
      <c r="Q33" s="177">
        <f>SUM(Res2S[[#This Row],[Medium]],Res2I[[#This Row],[Medium]])</f>
        <v>1030.2729739507959</v>
      </c>
      <c r="R33" s="177">
        <f>SUM(Res2S[[#This Row],[Large]],Res2I[[#This Row],[Large]])</f>
        <v>1373.6972986010612</v>
      </c>
      <c r="S33" s="177">
        <f>SUM(Res2S[[#This Row],[Recommended]],Res2I[[#This Row],[Recommended]])</f>
        <v>1259.2225237176394</v>
      </c>
      <c r="W33" s="291">
        <v>0</v>
      </c>
      <c r="Y33" s="193">
        <v>-0.2</v>
      </c>
      <c r="Z33" s="56" cm="1">
        <f t="array" ref="Z33">CPI*W33*Z$29+CPI*W33*(IndirectCom)</f>
        <v>0</v>
      </c>
      <c r="AA33" s="56" cm="1">
        <f t="array" ref="AA33">CPI*W33*AA$29+CPI*W33*(IndirectCom)</f>
        <v>0</v>
      </c>
      <c r="AB33" s="196" cm="1">
        <f t="array" ref="AB33">CPI*W33*AB$29+CPI*W33*(IndirectCom)</f>
        <v>0</v>
      </c>
      <c r="AC33" s="56" cm="1">
        <f t="array" ref="AC33">CPI*W33*AC$29+CPI*W33*(IndirectCom)</f>
        <v>0</v>
      </c>
    </row>
    <row r="34" spans="3:29" x14ac:dyDescent="0.3">
      <c r="C34" s="50">
        <v>-0.15</v>
      </c>
      <c r="D34" s="176"/>
      <c r="E34" s="176"/>
      <c r="F34" s="177">
        <f>SUM(Res1S[[#This Row],[Small]],Res1I[[#This Row],[Small]])</f>
        <v>1404.9176917510854</v>
      </c>
      <c r="G34" s="177">
        <f>SUM(Res1S[[#This Row],[Medium]],Res1I[[#This Row],[Medium]])</f>
        <v>2809.8353835021708</v>
      </c>
      <c r="H34" s="177">
        <f>SUM(Res1S[[#This Row],[Large]],Res1I[[#This Row],[Large]])</f>
        <v>3746.4471780028939</v>
      </c>
      <c r="I34" s="177">
        <f>SUM(Res1S[[#This Row],[Recommended]],Res1I[[#This Row],[Recommended]])</f>
        <v>3434.2432465026527</v>
      </c>
      <c r="M34" s="50">
        <v>-0.15</v>
      </c>
      <c r="N34" s="176">
        <v>4.1593750000000007E-3</v>
      </c>
      <c r="O34" s="176"/>
      <c r="P34" s="177">
        <f>SUM(Res2S[[#This Row],[Small]],Res2I[[#This Row],[Small]])</f>
        <v>772.70473046309712</v>
      </c>
      <c r="Q34" s="177">
        <f>SUM(Res2S[[#This Row],[Medium]],Res2I[[#This Row],[Medium]])</f>
        <v>1545.4094609261942</v>
      </c>
      <c r="R34" s="177">
        <f>SUM(Res2S[[#This Row],[Large]],Res2I[[#This Row],[Large]])</f>
        <v>2060.5459479015922</v>
      </c>
      <c r="S34" s="177">
        <f>SUM(Res2S[[#This Row],[Recommended]],Res2I[[#This Row],[Recommended]])</f>
        <v>1888.8337855764596</v>
      </c>
      <c r="W34" s="291">
        <v>0</v>
      </c>
      <c r="Y34" s="55">
        <v>-0.15</v>
      </c>
      <c r="Z34" s="56" cm="1">
        <f t="array" ref="Z34">CPI*W34*Z$29+CPI*W34*(IndirectCom)</f>
        <v>0</v>
      </c>
      <c r="AA34" s="56" cm="1">
        <f t="array" ref="AA34">CPI*W34*AA$29+CPI*W34*(IndirectCom)</f>
        <v>0</v>
      </c>
      <c r="AB34" s="196" cm="1">
        <f t="array" ref="AB34">CPI*W34*AB$29+CPI*W34*(IndirectCom)</f>
        <v>0</v>
      </c>
      <c r="AC34" s="56" cm="1">
        <f t="array" ref="AC34">CPI*W34*AC$29+CPI*W34*(IndirectCom)</f>
        <v>0</v>
      </c>
    </row>
    <row r="35" spans="3:29" x14ac:dyDescent="0.3">
      <c r="C35" s="50">
        <v>-0.1</v>
      </c>
      <c r="D35" s="176"/>
      <c r="E35" s="176"/>
      <c r="F35" s="177">
        <f>SUM(Res1S[[#This Row],[Small]],Res1I[[#This Row],[Small]])</f>
        <v>1873.223589001447</v>
      </c>
      <c r="G35" s="177">
        <f>SUM(Res1S[[#This Row],[Medium]],Res1I[[#This Row],[Medium]])</f>
        <v>3746.4471780028939</v>
      </c>
      <c r="H35" s="177">
        <f>SUM(Res1S[[#This Row],[Large]],Res1I[[#This Row],[Large]])</f>
        <v>4995.2629040038591</v>
      </c>
      <c r="I35" s="177">
        <f>SUM(Res1S[[#This Row],[Recommended]],Res1I[[#This Row],[Recommended]])</f>
        <v>4578.9909953368706</v>
      </c>
      <c r="M35" s="50">
        <v>-0.1</v>
      </c>
      <c r="N35" s="176">
        <v>5.545833333333334E-3</v>
      </c>
      <c r="O35" s="176"/>
      <c r="P35" s="177">
        <f>SUM(Res2S[[#This Row],[Small]],Res2I[[#This Row],[Small]])</f>
        <v>1030.2729739507961</v>
      </c>
      <c r="Q35" s="177">
        <f>SUM(Res2S[[#This Row],[Medium]],Res2I[[#This Row],[Medium]])</f>
        <v>2060.5459479015922</v>
      </c>
      <c r="R35" s="177">
        <f>SUM(Res2S[[#This Row],[Large]],Res2I[[#This Row],[Large]])</f>
        <v>2747.3945972021229</v>
      </c>
      <c r="S35" s="177">
        <f>SUM(Res2S[[#This Row],[Recommended]],Res2I[[#This Row],[Recommended]])</f>
        <v>2518.4450474352789</v>
      </c>
      <c r="W35" s="291">
        <v>0</v>
      </c>
      <c r="Y35" s="193">
        <v>-0.1</v>
      </c>
      <c r="Z35" s="56" cm="1">
        <f t="array" ref="Z35">CPI*W35*Z$29+CPI*W35*(IndirectCom)</f>
        <v>0</v>
      </c>
      <c r="AA35" s="56" cm="1">
        <f t="array" ref="AA35">CPI*W35*AA$29+CPI*W35*(IndirectCom)</f>
        <v>0</v>
      </c>
      <c r="AB35" s="196" cm="1">
        <f t="array" ref="AB35">CPI*W35*AB$29+CPI*W35*(IndirectCom)</f>
        <v>0</v>
      </c>
      <c r="AC35" s="56" cm="1">
        <f t="array" ref="AC35">CPI*W35*AC$29+CPI*W35*(IndirectCom)</f>
        <v>0</v>
      </c>
    </row>
    <row r="36" spans="3:29" x14ac:dyDescent="0.3">
      <c r="C36" s="50">
        <v>-0.05</v>
      </c>
      <c r="D36" s="176"/>
      <c r="E36" s="176"/>
      <c r="F36" s="177">
        <f>SUM(Res1S[[#This Row],[Small]],Res1I[[#This Row],[Small]])</f>
        <v>2341.529486251809</v>
      </c>
      <c r="G36" s="177">
        <f>SUM(Res1S[[#This Row],[Medium]],Res1I[[#This Row],[Medium]])</f>
        <v>4683.058972503618</v>
      </c>
      <c r="H36" s="177">
        <f>SUM(Res1S[[#This Row],[Large]],Res1I[[#This Row],[Large]])</f>
        <v>6244.0786300048239</v>
      </c>
      <c r="I36" s="177">
        <f>SUM(Res1S[[#This Row],[Recommended]],Res1I[[#This Row],[Recommended]])</f>
        <v>5723.738744171088</v>
      </c>
      <c r="M36" s="50">
        <v>-0.05</v>
      </c>
      <c r="N36" s="176">
        <v>6.9322916666666682E-3</v>
      </c>
      <c r="O36" s="176"/>
      <c r="P36" s="177">
        <f>SUM(Res2S[[#This Row],[Small]],Res2I[[#This Row],[Small]])</f>
        <v>1287.8412174384953</v>
      </c>
      <c r="Q36" s="177">
        <f>SUM(Res2S[[#This Row],[Medium]],Res2I[[#This Row],[Medium]])</f>
        <v>2575.6824348769906</v>
      </c>
      <c r="R36" s="177">
        <f>SUM(Res2S[[#This Row],[Large]],Res2I[[#This Row],[Large]])</f>
        <v>3434.2432465026536</v>
      </c>
      <c r="S36" s="177">
        <f>SUM(Res2S[[#This Row],[Recommended]],Res2I[[#This Row],[Recommended]])</f>
        <v>3148.0563092940993</v>
      </c>
      <c r="W36" s="291">
        <v>0</v>
      </c>
      <c r="Y36" s="55">
        <v>-0.05</v>
      </c>
      <c r="Z36" s="56" cm="1">
        <f t="array" ref="Z36">CPI*W36*Z$29+CPI*W36*(IndirectCom)</f>
        <v>0</v>
      </c>
      <c r="AA36" s="56" cm="1">
        <f t="array" ref="AA36">CPI*W36*AA$29+CPI*W36*(IndirectCom)</f>
        <v>0</v>
      </c>
      <c r="AB36" s="196" cm="1">
        <f t="array" ref="AB36">CPI*W36*AB$29+CPI*W36*(IndirectCom)</f>
        <v>0</v>
      </c>
      <c r="AC36" s="56" cm="1">
        <f t="array" ref="AC36">CPI*W36*AC$29+CPI*W36*(IndirectCom)</f>
        <v>0</v>
      </c>
    </row>
    <row r="37" spans="3:29" x14ac:dyDescent="0.3">
      <c r="C37" s="50">
        <v>0</v>
      </c>
      <c r="D37" s="176"/>
      <c r="E37" s="176"/>
      <c r="F37" s="177">
        <f>SUM(Res1S[[#This Row],[Small]],Res1I[[#This Row],[Small]])</f>
        <v>2809.8353835021708</v>
      </c>
      <c r="G37" s="177">
        <f>SUM(Res1S[[#This Row],[Medium]],Res1I[[#This Row],[Medium]])</f>
        <v>5619.6707670043415</v>
      </c>
      <c r="H37" s="177">
        <f>SUM(Res1S[[#This Row],[Large]],Res1I[[#This Row],[Large]])</f>
        <v>7492.8943560057887</v>
      </c>
      <c r="I37" s="177">
        <f>SUM(Res1S[[#This Row],[Recommended]],Res1I[[#This Row],[Recommended]])</f>
        <v>6868.4864930053063</v>
      </c>
      <c r="M37" s="50">
        <v>0</v>
      </c>
      <c r="N37" s="176">
        <v>8.3187500000000015E-3</v>
      </c>
      <c r="O37" s="176"/>
      <c r="P37" s="177">
        <f>SUM(Res2S[[#This Row],[Small]],Res2I[[#This Row],[Small]])</f>
        <v>1545.4094609261942</v>
      </c>
      <c r="Q37" s="177">
        <f>SUM(Res2S[[#This Row],[Medium]],Res2I[[#This Row],[Medium]])</f>
        <v>3090.8189218523885</v>
      </c>
      <c r="R37" s="177">
        <f>SUM(Res2S[[#This Row],[Large]],Res2I[[#This Row],[Large]])</f>
        <v>4121.0918958031843</v>
      </c>
      <c r="S37" s="177">
        <f>SUM(Res2S[[#This Row],[Recommended]],Res2I[[#This Row],[Recommended]])</f>
        <v>3777.6675711529192</v>
      </c>
      <c r="W37" s="291">
        <v>0</v>
      </c>
      <c r="Y37" s="193">
        <v>0</v>
      </c>
      <c r="Z37" s="195" cm="1">
        <f t="array" ref="Z37">CPI*W37*Z$29+CPI*W37*(IndirectCom)</f>
        <v>0</v>
      </c>
      <c r="AA37" s="195" cm="1">
        <f t="array" ref="AA37">CPI*W37*AA$29+CPI*W37*(IndirectCom)</f>
        <v>0</v>
      </c>
      <c r="AB37" s="196" cm="1">
        <f t="array" ref="AB37">CPI*W37*AB$29+CPI*W37*(IndirectCom)</f>
        <v>0</v>
      </c>
      <c r="AC37" s="195" cm="1">
        <f t="array" ref="AC37">CPI*W37*AC$29+CPI*W37*(IndirectCom)</f>
        <v>0</v>
      </c>
    </row>
    <row r="38" spans="3:29" x14ac:dyDescent="0.3">
      <c r="C38" s="50">
        <v>0.05</v>
      </c>
      <c r="D38" s="176"/>
      <c r="E38" s="176"/>
      <c r="F38" s="177">
        <f>SUM(Res1S[[#This Row],[Small]],Res1I[[#This Row],[Small]])</f>
        <v>29874.424458242946</v>
      </c>
      <c r="G38" s="177">
        <f>SUM(Res1S[[#This Row],[Medium]],Res1I[[#This Row],[Medium]])</f>
        <v>53648.848916485891</v>
      </c>
      <c r="H38" s="177">
        <f>SUM(Res1S[[#This Row],[Large]],Res1I[[#This Row],[Large]])</f>
        <v>69498.465221981183</v>
      </c>
      <c r="I38" s="177">
        <f>SUM(Res1S[[#This Row],[Recommended]],Res1I[[#This Row],[Recommended]])</f>
        <v>64215.259786816088</v>
      </c>
      <c r="M38" s="50">
        <v>0.05</v>
      </c>
      <c r="N38" s="176">
        <v>5.9239583333333345E-2</v>
      </c>
      <c r="O38" s="176"/>
      <c r="P38" s="177">
        <f>SUM(Res2S[[#This Row],[Small]],Res2I[[#This Row],[Small]])</f>
        <v>18715.751774285261</v>
      </c>
      <c r="Q38" s="177">
        <f>SUM(Res2S[[#This Row],[Medium]],Res2I[[#This Row],[Medium]])</f>
        <v>31331.503548570523</v>
      </c>
      <c r="R38" s="177">
        <f>SUM(Res2S[[#This Row],[Large]],Res2I[[#This Row],[Large]])</f>
        <v>39742.004731427369</v>
      </c>
      <c r="S38" s="177">
        <f>SUM(Res2S[[#This Row],[Recommended]],Res2I[[#This Row],[Recommended]])</f>
        <v>36938.504337141749</v>
      </c>
      <c r="W38" s="291">
        <v>72.039090909090916</v>
      </c>
      <c r="Y38" s="55">
        <v>0.05</v>
      </c>
      <c r="Z38" s="56" cm="1">
        <f t="array" ref="Z38">CPI*W38*Z$29+CPI*W38*(IndirectCom)</f>
        <v>50.81493517584039</v>
      </c>
      <c r="AA38" s="56" cm="1">
        <f t="array" ref="AA38">CPI*W38*AA$29+CPI*W38*(IndirectCom)</f>
        <v>65.333488083223358</v>
      </c>
      <c r="AB38" s="196" cm="1">
        <f t="array" ref="AB38">CPI*W38*AB$29+CPI*W38*(IndirectCom)</f>
        <v>94.370593897989295</v>
      </c>
      <c r="AC38" s="56" cm="1">
        <f t="array" ref="AC38">CPI*W38*AC$29+CPI*W38*(IndirectCom)</f>
        <v>130.66697616644672</v>
      </c>
    </row>
    <row r="39" spans="3:29" x14ac:dyDescent="0.3">
      <c r="C39" s="50">
        <v>0.1</v>
      </c>
      <c r="D39" s="176"/>
      <c r="E39" s="176"/>
      <c r="F39" s="177">
        <f>SUM(Res1S[[#This Row],[Small]],Res1I[[#This Row],[Small]])</f>
        <v>51939.013532983721</v>
      </c>
      <c r="G39" s="177">
        <f>SUM(Res1S[[#This Row],[Medium]],Res1I[[#This Row],[Medium]])</f>
        <v>96678.027065967442</v>
      </c>
      <c r="H39" s="177">
        <f>SUM(Res1S[[#This Row],[Large]],Res1I[[#This Row],[Large]])</f>
        <v>126504.0360879566</v>
      </c>
      <c r="I39" s="177">
        <f>SUM(Res1S[[#This Row],[Recommended]],Res1I[[#This Row],[Recommended]])</f>
        <v>116562.03308062688</v>
      </c>
      <c r="M39" s="50">
        <v>0.1</v>
      </c>
      <c r="N39" s="176">
        <v>0.11016041666666669</v>
      </c>
      <c r="O39" s="176"/>
      <c r="P39" s="177">
        <f>SUM(Res2S[[#This Row],[Small]],Res2I[[#This Row],[Small]])</f>
        <v>30886.094087644327</v>
      </c>
      <c r="Q39" s="177">
        <f>SUM(Res2S[[#This Row],[Medium]],Res2I[[#This Row],[Medium]])</f>
        <v>54572.188175288655</v>
      </c>
      <c r="R39" s="177">
        <f>SUM(Res2S[[#This Row],[Large]],Res2I[[#This Row],[Large]])</f>
        <v>70362.91756705154</v>
      </c>
      <c r="S39" s="177">
        <f>SUM(Res2S[[#This Row],[Recommended]],Res2I[[#This Row],[Recommended]])</f>
        <v>65099.34110313058</v>
      </c>
      <c r="W39" s="291">
        <v>144.07818181818183</v>
      </c>
      <c r="Y39" s="55">
        <v>0.1</v>
      </c>
      <c r="Z39" s="56" cm="1">
        <f t="array" ref="Z39">CPI*W39*Z$29+CPI*W39*(IndirectCom)</f>
        <v>101.62987035168078</v>
      </c>
      <c r="AA39" s="56" cm="1">
        <f t="array" ref="AA39">CPI*W39*AA$29+CPI*W39*(IndirectCom)</f>
        <v>130.66697616644672</v>
      </c>
      <c r="AB39" s="196" cm="1">
        <f t="array" ref="AB39">CPI*W39*AB$29+CPI*W39*(IndirectCom)</f>
        <v>188.74118779597859</v>
      </c>
      <c r="AC39" s="56" cm="1">
        <f t="array" ref="AC39">CPI*W39*AC$29+CPI*W39*(IndirectCom)</f>
        <v>261.33395233289343</v>
      </c>
    </row>
    <row r="40" spans="3:29" x14ac:dyDescent="0.3">
      <c r="C40" s="50">
        <v>0.15</v>
      </c>
      <c r="D40" s="176"/>
      <c r="E40" s="176"/>
      <c r="F40" s="177">
        <f>SUM(Res1S[[#This Row],[Small]],Res1I[[#This Row],[Small]])</f>
        <v>57719.329362427823</v>
      </c>
      <c r="G40" s="177">
        <f>SUM(Res1S[[#This Row],[Medium]],Res1I[[#This Row],[Medium]])</f>
        <v>107138.65872485565</v>
      </c>
      <c r="H40" s="177">
        <f>SUM(Res1S[[#This Row],[Large]],Res1I[[#This Row],[Large]])</f>
        <v>140084.87829980752</v>
      </c>
      <c r="I40" s="177">
        <f>SUM(Res1S[[#This Row],[Recommended]],Res1I[[#This Row],[Recommended]])</f>
        <v>129102.8051081569</v>
      </c>
      <c r="M40" s="50">
        <v>0.15</v>
      </c>
      <c r="N40" s="176">
        <v>0.11287031250000003</v>
      </c>
      <c r="O40" s="176"/>
      <c r="P40" s="177">
        <f>SUM(Res2S[[#This Row],[Small]],Res2I[[#This Row],[Small]])</f>
        <v>34100.086116090228</v>
      </c>
      <c r="Q40" s="177">
        <f>SUM(Res2S[[#This Row],[Medium]],Res2I[[#This Row],[Medium]])</f>
        <v>59900.172232180455</v>
      </c>
      <c r="R40" s="177">
        <f>SUM(Res2S[[#This Row],[Large]],Res2I[[#This Row],[Large]])</f>
        <v>77100.229642907274</v>
      </c>
      <c r="S40" s="177">
        <f>SUM(Res2S[[#This Row],[Recommended]],Res2I[[#This Row],[Recommended]])</f>
        <v>71366.877172665001</v>
      </c>
      <c r="W40" s="291">
        <v>216.11727272727276</v>
      </c>
      <c r="Y40" s="55">
        <v>0.15</v>
      </c>
      <c r="Z40" s="56" cm="1">
        <f t="array" ref="Z40">CPI*W40*Z$29+CPI*W40*(IndirectCom)</f>
        <v>152.44480552752117</v>
      </c>
      <c r="AA40" s="56" cm="1">
        <f t="array" ref="AA40">CPI*W40*AA$29+CPI*W40*(IndirectCom)</f>
        <v>196.00046424967007</v>
      </c>
      <c r="AB40" s="196" cm="1">
        <f t="array" ref="AB40">CPI*W40*AB$29+CPI*W40*(IndirectCom)</f>
        <v>283.11178169396794</v>
      </c>
      <c r="AC40" s="56" cm="1">
        <f t="array" ref="AC40">CPI*W40*AC$29+CPI*W40*(IndirectCom)</f>
        <v>392.0009284993402</v>
      </c>
    </row>
    <row r="41" spans="3:29" x14ac:dyDescent="0.3">
      <c r="C41" s="50">
        <v>0.2</v>
      </c>
      <c r="D41" s="176"/>
      <c r="E41" s="176"/>
      <c r="F41" s="177">
        <f>SUM(Res1S[[#This Row],[Small]],Res1I[[#This Row],[Small]])</f>
        <v>62599.645191871925</v>
      </c>
      <c r="G41" s="177">
        <f>SUM(Res1S[[#This Row],[Medium]],Res1I[[#This Row],[Medium]])</f>
        <v>116699.29038374385</v>
      </c>
      <c r="H41" s="177">
        <f>SUM(Res1S[[#This Row],[Large]],Res1I[[#This Row],[Large]])</f>
        <v>152765.72051165847</v>
      </c>
      <c r="I41" s="177">
        <f>SUM(Res1S[[#This Row],[Recommended]],Res1I[[#This Row],[Recommended]])</f>
        <v>140743.57713568694</v>
      </c>
      <c r="M41" s="50">
        <v>0.2</v>
      </c>
      <c r="N41" s="176">
        <v>0.11558020833333335</v>
      </c>
      <c r="O41" s="176"/>
      <c r="P41" s="177">
        <f>SUM(Res2S[[#This Row],[Small]],Res2I[[#This Row],[Small]])</f>
        <v>36414.078144536121</v>
      </c>
      <c r="Q41" s="177">
        <f>SUM(Res2S[[#This Row],[Medium]],Res2I[[#This Row],[Medium]])</f>
        <v>64328.156289072242</v>
      </c>
      <c r="R41" s="177">
        <f>SUM(Res2S[[#This Row],[Large]],Res2I[[#This Row],[Large]])</f>
        <v>82937.541718762979</v>
      </c>
      <c r="S41" s="177">
        <f>SUM(Res2S[[#This Row],[Recommended]],Res2I[[#This Row],[Recommended]])</f>
        <v>76734.4132421994</v>
      </c>
      <c r="W41" s="291">
        <v>288.15636363636366</v>
      </c>
      <c r="Y41" s="55">
        <v>0.2</v>
      </c>
      <c r="Z41" s="56" cm="1">
        <f t="array" ref="Z41">CPI*W41*Z$29+CPI*W41*(IndirectCom)</f>
        <v>203.25974070336156</v>
      </c>
      <c r="AA41" s="56" cm="1">
        <f t="array" ref="AA41">CPI*W41*AA$29+CPI*W41*(IndirectCom)</f>
        <v>261.33395233289343</v>
      </c>
      <c r="AB41" s="196" cm="1">
        <f t="array" ref="AB41">CPI*W41*AB$29+CPI*W41*(IndirectCom)</f>
        <v>377.48237559195718</v>
      </c>
      <c r="AC41" s="56" cm="1">
        <f t="array" ref="AC41">CPI*W41*AC$29+CPI*W41*(IndirectCom)</f>
        <v>522.66790466578686</v>
      </c>
    </row>
    <row r="42" spans="3:29" x14ac:dyDescent="0.3">
      <c r="C42" s="50">
        <v>0.25</v>
      </c>
      <c r="D42" s="176"/>
      <c r="E42" s="176"/>
      <c r="F42" s="177">
        <f>SUM(Res1S[[#This Row],[Small]],Res1I[[#This Row],[Small]])</f>
        <v>67479.961021316019</v>
      </c>
      <c r="G42" s="177">
        <f>SUM(Res1S[[#This Row],[Medium]],Res1I[[#This Row],[Medium]])</f>
        <v>126259.92204263204</v>
      </c>
      <c r="H42" s="177">
        <f>SUM(Res1S[[#This Row],[Large]],Res1I[[#This Row],[Large]])</f>
        <v>165446.56272350941</v>
      </c>
      <c r="I42" s="177">
        <f>SUM(Res1S[[#This Row],[Recommended]],Res1I[[#This Row],[Recommended]])</f>
        <v>152384.34916321695</v>
      </c>
      <c r="M42" s="50">
        <v>0.25</v>
      </c>
      <c r="N42" s="176">
        <v>0.11829010416666669</v>
      </c>
      <c r="O42" s="176"/>
      <c r="P42" s="177">
        <f>SUM(Res2S[[#This Row],[Small]],Res2I[[#This Row],[Small]])</f>
        <v>38728.070172982021</v>
      </c>
      <c r="Q42" s="177">
        <f>SUM(Res2S[[#This Row],[Medium]],Res2I[[#This Row],[Medium]])</f>
        <v>68756.140345964042</v>
      </c>
      <c r="R42" s="177">
        <f>SUM(Res2S[[#This Row],[Large]],Res2I[[#This Row],[Large]])</f>
        <v>88774.853794618713</v>
      </c>
      <c r="S42" s="177">
        <f>SUM(Res2S[[#This Row],[Recommended]],Res2I[[#This Row],[Recommended]])</f>
        <v>82101.949311733813</v>
      </c>
      <c r="W42" s="291">
        <v>360.1954545454546</v>
      </c>
      <c r="Y42" s="55">
        <v>0.25</v>
      </c>
      <c r="Z42" s="56" cm="1">
        <f t="array" ref="Z42">CPI*W42*Z$29+CPI*W42*(IndirectCom)</f>
        <v>254.074675879202</v>
      </c>
      <c r="AA42" s="56" cm="1">
        <f t="array" ref="AA42">CPI*W42*AA$29+CPI*W42*(IndirectCom)</f>
        <v>326.66744041611685</v>
      </c>
      <c r="AB42" s="196" cm="1">
        <f t="array" ref="AB42">CPI*W42*AB$29+CPI*W42*(IndirectCom)</f>
        <v>471.85296948994653</v>
      </c>
      <c r="AC42" s="56" cm="1">
        <f t="array" ref="AC42">CPI*W42*AC$29+CPI*W42*(IndirectCom)</f>
        <v>653.33488083223369</v>
      </c>
    </row>
    <row r="43" spans="3:29" x14ac:dyDescent="0.3">
      <c r="C43" s="50">
        <v>0.3</v>
      </c>
      <c r="D43" s="176"/>
      <c r="E43" s="176"/>
      <c r="F43" s="177">
        <f>SUM(Res1S[[#This Row],[Small]],Res1I[[#This Row],[Small]])</f>
        <v>70043.120742671541</v>
      </c>
      <c r="G43" s="177">
        <f>SUM(Res1S[[#This Row],[Medium]],Res1I[[#This Row],[Medium]])</f>
        <v>131061.24148534307</v>
      </c>
      <c r="H43" s="177">
        <f>SUM(Res1S[[#This Row],[Large]],Res1I[[#This Row],[Large]])</f>
        <v>171739.98864712409</v>
      </c>
      <c r="I43" s="177">
        <f>SUM(Res1S[[#This Row],[Recommended]],Res1I[[#This Row],[Recommended]])</f>
        <v>158180.40625986375</v>
      </c>
      <c r="M43" s="50">
        <v>0.3</v>
      </c>
      <c r="N43" s="176">
        <v>0.12100000000000002</v>
      </c>
      <c r="O43" s="176"/>
      <c r="P43" s="177">
        <f>SUM(Res2S[[#This Row],[Small]],Res2I[[#This Row],[Small]])</f>
        <v>40361.78060697703</v>
      </c>
      <c r="Q43" s="177">
        <f>SUM(Res2S[[#This Row],[Medium]],Res2I[[#This Row],[Medium]])</f>
        <v>71698.561213954061</v>
      </c>
      <c r="R43" s="177">
        <f>SUM(Res2S[[#This Row],[Large]],Res2I[[#This Row],[Large]])</f>
        <v>92589.748285272086</v>
      </c>
      <c r="S43" s="177">
        <f>SUM(Res2S[[#This Row],[Recommended]],Res2I[[#This Row],[Recommended]])</f>
        <v>85626.019261499416</v>
      </c>
      <c r="W43" s="291">
        <v>390.41818181818184</v>
      </c>
      <c r="Y43" s="55">
        <v>0.3</v>
      </c>
      <c r="Z43" s="56" cm="1">
        <f t="array" ref="Z43">CPI*W43*Z$29+CPI*W43*(IndirectCom)</f>
        <v>275.39318375902496</v>
      </c>
      <c r="AA43" s="56" cm="1">
        <f t="array" ref="AA43">CPI*W43*AA$29+CPI*W43*(IndirectCom)</f>
        <v>354.07695054731778</v>
      </c>
      <c r="AB43" s="196" cm="1">
        <f t="array" ref="AB43">CPI*W43*AB$29+CPI*W43*(IndirectCom)</f>
        <v>511.44448412390341</v>
      </c>
      <c r="AC43" s="56" cm="1">
        <f t="array" ref="AC43">CPI*W43*AC$29+CPI*W43*(IndirectCom)</f>
        <v>708.15390109463556</v>
      </c>
    </row>
    <row r="44" spans="3:29" x14ac:dyDescent="0.3">
      <c r="C44" s="50">
        <v>0.35</v>
      </c>
      <c r="D44" s="176"/>
      <c r="E44" s="176"/>
      <c r="F44" s="177">
        <f>SUM(Res1S[[#This Row],[Small]],Res1I[[#This Row],[Small]])</f>
        <v>71690.955301219525</v>
      </c>
      <c r="G44" s="177">
        <f>SUM(Res1S[[#This Row],[Medium]],Res1I[[#This Row],[Medium]])</f>
        <v>134031.91060243905</v>
      </c>
      <c r="H44" s="177">
        <f>SUM(Res1S[[#This Row],[Large]],Res1I[[#This Row],[Large]])</f>
        <v>175592.54746991873</v>
      </c>
      <c r="I44" s="177">
        <f>SUM(Res1S[[#This Row],[Recommended]],Res1I[[#This Row],[Recommended]])</f>
        <v>161739.0018474255</v>
      </c>
      <c r="M44" s="50">
        <v>0.35</v>
      </c>
      <c r="N44" s="176">
        <v>0.12100000000000002</v>
      </c>
      <c r="O44" s="176"/>
      <c r="P44" s="177">
        <f>SUM(Res2S[[#This Row],[Small]],Res2I[[#This Row],[Small]])</f>
        <v>41492.062201427907</v>
      </c>
      <c r="Q44" s="177">
        <f>SUM(Res2S[[#This Row],[Medium]],Res2I[[#This Row],[Medium]])</f>
        <v>73634.124402855814</v>
      </c>
      <c r="R44" s="177">
        <f>SUM(Res2S[[#This Row],[Large]],Res2I[[#This Row],[Large]])</f>
        <v>95062.165870474419</v>
      </c>
      <c r="S44" s="177">
        <f>SUM(Res2S[[#This Row],[Recommended]],Res2I[[#This Row],[Recommended]])</f>
        <v>87919.485381268227</v>
      </c>
      <c r="W44" s="291">
        <v>420.64090909090913</v>
      </c>
      <c r="Y44" s="55">
        <v>0.35</v>
      </c>
      <c r="Z44" s="56" cm="1">
        <f t="array" ref="Z44">CPI*W44*Z$29+CPI*W44*(IndirectCom)</f>
        <v>296.71169163884792</v>
      </c>
      <c r="AA44" s="56" cm="1">
        <f t="array" ref="AA44">CPI*W44*AA$29+CPI*W44*(IndirectCom)</f>
        <v>381.48646067851882</v>
      </c>
      <c r="AB44" s="196" cm="1">
        <f t="array" ref="AB44">CPI*W44*AB$29+CPI*W44*(IndirectCom)</f>
        <v>551.03599875786051</v>
      </c>
      <c r="AC44" s="56" cm="1">
        <f t="array" ref="AC44">CPI*W44*AC$29+CPI*W44*(IndirectCom)</f>
        <v>762.97292135703754</v>
      </c>
    </row>
    <row r="45" spans="3:29" x14ac:dyDescent="0.3">
      <c r="C45" s="50">
        <v>0.4</v>
      </c>
      <c r="D45" s="176"/>
      <c r="E45" s="176"/>
      <c r="F45" s="177">
        <f>SUM(Res1S[[#This Row],[Small]],Res1I[[#This Row],[Small]])</f>
        <v>73338.789859767508</v>
      </c>
      <c r="G45" s="177">
        <f>SUM(Res1S[[#This Row],[Medium]],Res1I[[#This Row],[Medium]])</f>
        <v>137002.57971953502</v>
      </c>
      <c r="H45" s="177">
        <f>SUM(Res1S[[#This Row],[Large]],Res1I[[#This Row],[Large]])</f>
        <v>179445.10629271335</v>
      </c>
      <c r="I45" s="177">
        <f>SUM(Res1S[[#This Row],[Recommended]],Res1I[[#This Row],[Recommended]])</f>
        <v>165297.59743498726</v>
      </c>
      <c r="M45" s="50">
        <v>0.4</v>
      </c>
      <c r="N45" s="176">
        <v>0.12100000000000002</v>
      </c>
      <c r="O45" s="176"/>
      <c r="P45" s="177">
        <f>SUM(Res2S[[#This Row],[Small]],Res2I[[#This Row],[Small]])</f>
        <v>42622.343795878784</v>
      </c>
      <c r="Q45" s="177">
        <f>SUM(Res2S[[#This Row],[Medium]],Res2I[[#This Row],[Medium]])</f>
        <v>75569.687591757567</v>
      </c>
      <c r="R45" s="177">
        <f>SUM(Res2S[[#This Row],[Large]],Res2I[[#This Row],[Large]])</f>
        <v>97534.583455676766</v>
      </c>
      <c r="S45" s="177">
        <f>SUM(Res2S[[#This Row],[Recommended]],Res2I[[#This Row],[Recommended]])</f>
        <v>90212.951501037052</v>
      </c>
      <c r="W45" s="291">
        <v>450.86363636363637</v>
      </c>
      <c r="Y45" s="55">
        <v>0.4</v>
      </c>
      <c r="Z45" s="56" cm="1">
        <f t="array" ref="Z45">CPI*W45*Z$29+CPI*W45*(IndirectCom)</f>
        <v>318.03019951867094</v>
      </c>
      <c r="AA45" s="56" cm="1">
        <f t="array" ref="AA45">CPI*W45*AA$29+CPI*W45*(IndirectCom)</f>
        <v>408.89597080971976</v>
      </c>
      <c r="AB45" s="196" cm="1">
        <f t="array" ref="AB45">CPI*W45*AB$29+CPI*W45*(IndirectCom)</f>
        <v>590.6275133918175</v>
      </c>
      <c r="AC45" s="56" cm="1">
        <f t="array" ref="AC45">CPI*W45*AC$29+CPI*W45*(IndirectCom)</f>
        <v>817.79194161943951</v>
      </c>
    </row>
    <row r="46" spans="3:29" x14ac:dyDescent="0.3">
      <c r="C46" s="50">
        <v>0.45</v>
      </c>
      <c r="D46" s="176"/>
      <c r="E46" s="176"/>
      <c r="F46" s="177">
        <f>SUM(Res1S[[#This Row],[Small]],Res1I[[#This Row],[Small]])</f>
        <v>74986.624418315507</v>
      </c>
      <c r="G46" s="177">
        <f>SUM(Res1S[[#This Row],[Medium]],Res1I[[#This Row],[Medium]])</f>
        <v>139973.24883663098</v>
      </c>
      <c r="H46" s="177">
        <f>SUM(Res1S[[#This Row],[Large]],Res1I[[#This Row],[Large]])</f>
        <v>183297.66511550799</v>
      </c>
      <c r="I46" s="177">
        <f>SUM(Res1S[[#This Row],[Recommended]],Res1I[[#This Row],[Recommended]])</f>
        <v>168856.19302254898</v>
      </c>
      <c r="M46" s="50">
        <v>0.45</v>
      </c>
      <c r="N46" s="176">
        <v>0.12100000000000002</v>
      </c>
      <c r="O46" s="176"/>
      <c r="P46" s="177">
        <f>SUM(Res2S[[#This Row],[Small]],Res2I[[#This Row],[Small]])</f>
        <v>43752.625390329667</v>
      </c>
      <c r="Q46" s="177">
        <f>SUM(Res2S[[#This Row],[Medium]],Res2I[[#This Row],[Medium]])</f>
        <v>77505.250780659335</v>
      </c>
      <c r="R46" s="177">
        <f>SUM(Res2S[[#This Row],[Large]],Res2I[[#This Row],[Large]])</f>
        <v>100007.00104087911</v>
      </c>
      <c r="S46" s="177">
        <f>SUM(Res2S[[#This Row],[Recommended]],Res2I[[#This Row],[Recommended]])</f>
        <v>92506.417620805849</v>
      </c>
      <c r="W46" s="291">
        <v>481.08636363636367</v>
      </c>
      <c r="Y46" s="55">
        <v>0.45</v>
      </c>
      <c r="Z46" s="56" cm="1">
        <f t="array" ref="Z46">CPI*W46*Z$29+CPI*W46*(IndirectCom)</f>
        <v>339.34870739849396</v>
      </c>
      <c r="AA46" s="56" cm="1">
        <f t="array" ref="AA46">CPI*W46*AA$29+CPI*W46*(IndirectCom)</f>
        <v>436.3054809409208</v>
      </c>
      <c r="AB46" s="196" cm="1">
        <f t="array" ref="AB46">CPI*W46*AB$29+CPI*W46*(IndirectCom)</f>
        <v>630.21902802577449</v>
      </c>
      <c r="AC46" s="56" cm="1">
        <f t="array" ref="AC46">CPI*W46*AC$29+CPI*W46*(IndirectCom)</f>
        <v>872.6109618818416</v>
      </c>
    </row>
    <row r="47" spans="3:29" x14ac:dyDescent="0.3">
      <c r="C47" s="50">
        <v>0.5</v>
      </c>
      <c r="D47" s="176"/>
      <c r="E47" s="176"/>
      <c r="F47" s="177">
        <f>SUM(Res1S[[#This Row],[Small]],Res1I[[#This Row],[Small]])</f>
        <v>76495.173262577766</v>
      </c>
      <c r="G47" s="177">
        <f>SUM(Res1S[[#This Row],[Medium]],Res1I[[#This Row],[Medium]])</f>
        <v>142804.63223944124</v>
      </c>
      <c r="H47" s="177">
        <f>SUM(Res1S[[#This Row],[Large]],Res1I[[#This Row],[Large]])</f>
        <v>187010.93822401689</v>
      </c>
      <c r="I47" s="177">
        <f>SUM(Res1S[[#This Row],[Recommended]],Res1I[[#This Row],[Recommended]])</f>
        <v>172275.50289582502</v>
      </c>
      <c r="M47" s="50">
        <v>0.5</v>
      </c>
      <c r="N47" s="176">
        <v>0.12100000000000002</v>
      </c>
      <c r="O47" s="176"/>
      <c r="P47" s="177">
        <f>SUM(Res2S[[#This Row],[Small]],Res2I[[#This Row],[Small]])</f>
        <v>44743.621270494827</v>
      </c>
      <c r="Q47" s="177">
        <f>SUM(Res2S[[#This Row],[Medium]],Res2I[[#This Row],[Medium]])</f>
        <v>79301.528255275363</v>
      </c>
      <c r="R47" s="177">
        <f>SUM(Res2S[[#This Row],[Large]],Res2I[[#This Row],[Large]])</f>
        <v>102340.13291179574</v>
      </c>
      <c r="S47" s="177">
        <f>SUM(Res2S[[#This Row],[Recommended]],Res2I[[#This Row],[Recommended]])</f>
        <v>94660.59802628895</v>
      </c>
      <c r="W47" s="291">
        <v>511.30909090909091</v>
      </c>
      <c r="Y47" s="55">
        <v>0.5</v>
      </c>
      <c r="Z47" s="56" cm="1">
        <f t="array" ref="Z47">CPI*W47*Z$29+CPI*W47*(IndirectCom)</f>
        <v>360.66721527831692</v>
      </c>
      <c r="AA47" s="56" cm="1">
        <f t="array" ref="AA47">CPI*W47*AA$29+CPI*W47*(IndirectCom)</f>
        <v>463.71499107212173</v>
      </c>
      <c r="AB47" s="196" cm="1">
        <f t="array" ref="AB47">CPI*W47*AB$29+CPI*W47*(IndirectCom)</f>
        <v>669.81054265973148</v>
      </c>
      <c r="AC47" s="56" cm="1">
        <f t="array" ref="AC47">CPI*W47*AC$29+CPI*W47*(IndirectCom)</f>
        <v>927.42998214424358</v>
      </c>
    </row>
    <row r="48" spans="3:29" x14ac:dyDescent="0.3">
      <c r="C48" s="50">
        <v>0.55000000000000004</v>
      </c>
      <c r="D48" s="176"/>
      <c r="E48" s="176"/>
      <c r="F48" s="177">
        <f>SUM(Res1S[[#This Row],[Small]],Res1I[[#This Row],[Small]])</f>
        <v>78081.611963806528</v>
      </c>
      <c r="G48" s="177">
        <f>SUM(Res1S[[#This Row],[Medium]],Res1I[[#This Row],[Medium]])</f>
        <v>145791.79535618451</v>
      </c>
      <c r="H48" s="177">
        <f>SUM(Res1S[[#This Row],[Large]],Res1I[[#This Row],[Large]])</f>
        <v>190931.9176177698</v>
      </c>
      <c r="I48" s="177">
        <f>SUM(Res1S[[#This Row],[Recommended]],Res1I[[#This Row],[Recommended]])</f>
        <v>175885.21019724134</v>
      </c>
      <c r="M48" s="50">
        <v>0.55000000000000004</v>
      </c>
      <c r="N48" s="176">
        <v>0.12213437500000003</v>
      </c>
      <c r="O48" s="176"/>
      <c r="P48" s="177">
        <f>SUM(Res2S[[#This Row],[Small]],Res2I[[#This Row],[Small]])</f>
        <v>45542.714007197224</v>
      </c>
      <c r="Q48" s="177">
        <f>SUM(Res2S[[#This Row],[Medium]],Res2I[[#This Row],[Medium]])</f>
        <v>80713.999442965869</v>
      </c>
      <c r="R48" s="177">
        <f>SUM(Res2S[[#This Row],[Large]],Res2I[[#This Row],[Large]])</f>
        <v>104161.52306681164</v>
      </c>
      <c r="S48" s="177">
        <f>SUM(Res2S[[#This Row],[Recommended]],Res2I[[#This Row],[Recommended]])</f>
        <v>96345.681858863056</v>
      </c>
      <c r="W48" s="291">
        <v>541.53181818181827</v>
      </c>
      <c r="Y48" s="55">
        <v>0.55000000000000004</v>
      </c>
      <c r="Z48" s="56" cm="1">
        <f t="array" ref="Z48">CPI*W48*Z$29+CPI*W48*(IndirectCom)</f>
        <v>381.98572315813999</v>
      </c>
      <c r="AA48" s="56" cm="1">
        <f t="array" ref="AA48">CPI*W48*AA$29+CPI*W48*(IndirectCom)</f>
        <v>491.12450120332278</v>
      </c>
      <c r="AB48" s="196" cm="1">
        <f t="array" ref="AB48">CPI*W48*AB$29+CPI*W48*(IndirectCom)</f>
        <v>709.40205729368859</v>
      </c>
      <c r="AC48" s="56" cm="1">
        <f t="array" ref="AC48">CPI*W48*AC$29+CPI*W48*(IndirectCom)</f>
        <v>982.24900240664567</v>
      </c>
    </row>
    <row r="49" spans="3:29" x14ac:dyDescent="0.3">
      <c r="C49" s="50">
        <v>0.6</v>
      </c>
      <c r="D49" s="176"/>
      <c r="E49" s="176"/>
      <c r="F49" s="177">
        <f>SUM(Res1S[[#This Row],[Small]],Res1I[[#This Row],[Small]])</f>
        <v>79668.050665035291</v>
      </c>
      <c r="G49" s="177">
        <f>SUM(Res1S[[#This Row],[Medium]],Res1I[[#This Row],[Medium]])</f>
        <v>148778.95847292774</v>
      </c>
      <c r="H49" s="177">
        <f>SUM(Res1S[[#This Row],[Large]],Res1I[[#This Row],[Large]])</f>
        <v>194852.89701152273</v>
      </c>
      <c r="I49" s="177">
        <f>SUM(Res1S[[#This Row],[Recommended]],Res1I[[#This Row],[Recommended]])</f>
        <v>179494.91749865771</v>
      </c>
      <c r="M49" s="50">
        <v>0.6</v>
      </c>
      <c r="N49" s="176">
        <v>0.12326875000000002</v>
      </c>
      <c r="O49" s="176"/>
      <c r="P49" s="177">
        <f>SUM(Res2S[[#This Row],[Small]],Res2I[[#This Row],[Small]])</f>
        <v>46341.806743899608</v>
      </c>
      <c r="Q49" s="177">
        <f>SUM(Res2S[[#This Row],[Medium]],Res2I[[#This Row],[Medium]])</f>
        <v>82126.470630656346</v>
      </c>
      <c r="R49" s="177">
        <f>SUM(Res2S[[#This Row],[Large]],Res2I[[#This Row],[Large]])</f>
        <v>105982.91322182753</v>
      </c>
      <c r="S49" s="177">
        <f>SUM(Res2S[[#This Row],[Recommended]],Res2I[[#This Row],[Recommended]])</f>
        <v>98030.765691437147</v>
      </c>
      <c r="W49" s="291">
        <v>571.75454545454545</v>
      </c>
      <c r="Y49" s="55">
        <v>0.6</v>
      </c>
      <c r="Z49" s="56" cm="1">
        <f t="array" ref="Z49">CPI*W49*Z$29+CPI*W49*(IndirectCom)</f>
        <v>403.30423103796289</v>
      </c>
      <c r="AA49" s="56" cm="1">
        <f t="array" ref="AA49">CPI*W49*AA$29+CPI*W49*(IndirectCom)</f>
        <v>518.53401133452371</v>
      </c>
      <c r="AB49" s="196" cm="1">
        <f t="array" ref="AB49">CPI*W49*AB$29+CPI*W49*(IndirectCom)</f>
        <v>748.99357192764535</v>
      </c>
      <c r="AC49" s="56" cm="1">
        <f t="array" ref="AC49">CPI*W49*AC$29+CPI*W49*(IndirectCom)</f>
        <v>1037.0680226690474</v>
      </c>
    </row>
    <row r="50" spans="3:29" x14ac:dyDescent="0.3">
      <c r="C50" s="50">
        <v>0.65</v>
      </c>
      <c r="D50" s="176"/>
      <c r="E50" s="176"/>
      <c r="F50" s="177">
        <f>SUM(Res1S[[#This Row],[Small]],Res1I[[#This Row],[Small]])</f>
        <v>81254.489366264082</v>
      </c>
      <c r="G50" s="177">
        <f>SUM(Res1S[[#This Row],[Medium]],Res1I[[#This Row],[Medium]])</f>
        <v>151766.12158967101</v>
      </c>
      <c r="H50" s="177">
        <f>SUM(Res1S[[#This Row],[Large]],Res1I[[#This Row],[Large]])</f>
        <v>198773.87640527566</v>
      </c>
      <c r="I50" s="177">
        <f>SUM(Res1S[[#This Row],[Recommended]],Res1I[[#This Row],[Recommended]])</f>
        <v>183104.62480007412</v>
      </c>
      <c r="M50" s="50">
        <v>0.65</v>
      </c>
      <c r="N50" s="176">
        <v>0.12440312500000003</v>
      </c>
      <c r="O50" s="176"/>
      <c r="P50" s="177">
        <f>SUM(Res2S[[#This Row],[Small]],Res2I[[#This Row],[Small]])</f>
        <v>47140.899480602005</v>
      </c>
      <c r="Q50" s="177">
        <f>SUM(Res2S[[#This Row],[Medium]],Res2I[[#This Row],[Medium]])</f>
        <v>83538.941818346852</v>
      </c>
      <c r="R50" s="177">
        <f>SUM(Res2S[[#This Row],[Large]],Res2I[[#This Row],[Large]])</f>
        <v>107804.30337684343</v>
      </c>
      <c r="S50" s="177">
        <f>SUM(Res2S[[#This Row],[Recommended]],Res2I[[#This Row],[Recommended]])</f>
        <v>99715.849524011224</v>
      </c>
      <c r="W50" s="291">
        <v>601.97727272727275</v>
      </c>
      <c r="Y50" s="55">
        <v>0.65</v>
      </c>
      <c r="Z50" s="56" cm="1">
        <f t="array" ref="Z50">CPI*W50*Z$29+CPI*W50*(IndirectCom)</f>
        <v>424.62273891778591</v>
      </c>
      <c r="AA50" s="56" cm="1">
        <f t="array" ref="AA50">CPI*W50*AA$29+CPI*W50*(IndirectCom)</f>
        <v>545.94352146572476</v>
      </c>
      <c r="AB50" s="196" cm="1">
        <f t="array" ref="AB50">CPI*W50*AB$29+CPI*W50*(IndirectCom)</f>
        <v>788.58508656160234</v>
      </c>
      <c r="AC50" s="56" cm="1">
        <f t="array" ref="AC50">CPI*W50*AC$29+CPI*W50*(IndirectCom)</f>
        <v>1091.8870429314495</v>
      </c>
    </row>
    <row r="51" spans="3:29" x14ac:dyDescent="0.3">
      <c r="C51" s="50">
        <v>0.7</v>
      </c>
      <c r="D51" s="176"/>
      <c r="E51" s="176"/>
      <c r="F51" s="177">
        <f>SUM(Res1S[[#This Row],[Small]],Res1I[[#This Row],[Small]])</f>
        <v>82840.928067492845</v>
      </c>
      <c r="G51" s="177">
        <f>SUM(Res1S[[#This Row],[Medium]],Res1I[[#This Row],[Medium]])</f>
        <v>154753.28470641427</v>
      </c>
      <c r="H51" s="177">
        <f>SUM(Res1S[[#This Row],[Large]],Res1I[[#This Row],[Large]])</f>
        <v>202694.85579902853</v>
      </c>
      <c r="I51" s="177">
        <f>SUM(Res1S[[#This Row],[Recommended]],Res1I[[#This Row],[Recommended]])</f>
        <v>186714.33210149044</v>
      </c>
      <c r="M51" s="50">
        <v>0.7</v>
      </c>
      <c r="N51" s="176">
        <v>0.12553750000000002</v>
      </c>
      <c r="O51" s="176"/>
      <c r="P51" s="177">
        <f>SUM(Res2S[[#This Row],[Small]],Res2I[[#This Row],[Small]])</f>
        <v>47939.992217304381</v>
      </c>
      <c r="Q51" s="177">
        <f>SUM(Res2S[[#This Row],[Medium]],Res2I[[#This Row],[Medium]])</f>
        <v>84951.413006037343</v>
      </c>
      <c r="R51" s="177">
        <f>SUM(Res2S[[#This Row],[Large]],Res2I[[#This Row],[Large]])</f>
        <v>109625.6935318593</v>
      </c>
      <c r="S51" s="177">
        <f>SUM(Res2S[[#This Row],[Recommended]],Res2I[[#This Row],[Recommended]])</f>
        <v>101400.93335658533</v>
      </c>
      <c r="W51" s="291">
        <v>632.20000000000005</v>
      </c>
      <c r="Y51" s="55">
        <v>0.7</v>
      </c>
      <c r="Z51" s="56" cm="1">
        <f t="array" ref="Z51">CPI*W51*Z$29+CPI*W51*(IndirectCom)</f>
        <v>445.94124679760898</v>
      </c>
      <c r="AA51" s="56" cm="1">
        <f t="array" ref="AA51">CPI*W51*AA$29+CPI*W51*(IndirectCom)</f>
        <v>573.3530315969258</v>
      </c>
      <c r="AB51" s="196" cm="1">
        <f t="array" ref="AB51">CPI*W51*AB$29+CPI*W51*(IndirectCom)</f>
        <v>828.17660119555944</v>
      </c>
      <c r="AC51" s="56" cm="1">
        <f t="array" ref="AC51">CPI*W51*AC$29+CPI*W51*(IndirectCom)</f>
        <v>1146.7060631938516</v>
      </c>
    </row>
    <row r="52" spans="3:29" x14ac:dyDescent="0.3">
      <c r="C52" s="50">
        <v>0.75</v>
      </c>
      <c r="D52" s="176"/>
      <c r="E52" s="176"/>
      <c r="F52" s="177">
        <f>SUM(Res1S[[#This Row],[Small]],Res1I[[#This Row],[Small]])</f>
        <v>84427.366768721608</v>
      </c>
      <c r="G52" s="177">
        <f>SUM(Res1S[[#This Row],[Medium]],Res1I[[#This Row],[Medium]])</f>
        <v>157740.44782315748</v>
      </c>
      <c r="H52" s="177">
        <f>SUM(Res1S[[#This Row],[Large]],Res1I[[#This Row],[Large]])</f>
        <v>206615.83519278141</v>
      </c>
      <c r="I52" s="177">
        <f>SUM(Res1S[[#This Row],[Recommended]],Res1I[[#This Row],[Recommended]])</f>
        <v>190324.03940290678</v>
      </c>
      <c r="M52" s="50">
        <v>0.75</v>
      </c>
      <c r="N52" s="176">
        <v>0.12667187500000004</v>
      </c>
      <c r="O52" s="176"/>
      <c r="P52" s="177">
        <f>SUM(Res2S[[#This Row],[Small]],Res2I[[#This Row],[Small]])</f>
        <v>48739.084954006772</v>
      </c>
      <c r="Q52" s="177">
        <f>SUM(Res2S[[#This Row],[Medium]],Res2I[[#This Row],[Medium]])</f>
        <v>86363.884193727834</v>
      </c>
      <c r="R52" s="177">
        <f>SUM(Res2S[[#This Row],[Large]],Res2I[[#This Row],[Large]])</f>
        <v>111447.08368687521</v>
      </c>
      <c r="S52" s="177">
        <f>SUM(Res2S[[#This Row],[Recommended]],Res2I[[#This Row],[Recommended]])</f>
        <v>103086.01718915942</v>
      </c>
      <c r="W52" s="291">
        <v>662.42272727272734</v>
      </c>
      <c r="Y52" s="55">
        <v>0.75</v>
      </c>
      <c r="Z52" s="56" cm="1">
        <f t="array" ref="Z52">CPI*W52*Z$29+CPI*W52*(IndirectCom)</f>
        <v>467.25975467743194</v>
      </c>
      <c r="AA52" s="56" cm="1">
        <f t="array" ref="AA52">CPI*W52*AA$29+CPI*W52*(IndirectCom)</f>
        <v>600.76254172812673</v>
      </c>
      <c r="AB52" s="196" cm="1">
        <f t="array" ref="AB52">CPI*W52*AB$29+CPI*W52*(IndirectCom)</f>
        <v>867.76811582951643</v>
      </c>
      <c r="AC52" s="56" cm="1">
        <f t="array" ref="AC52">CPI*W52*AC$29+CPI*W52*(IndirectCom)</f>
        <v>1201.5250834562535</v>
      </c>
    </row>
    <row r="53" spans="3:29" x14ac:dyDescent="0.3">
      <c r="C53" s="50">
        <v>0.8</v>
      </c>
      <c r="D53" s="176"/>
      <c r="E53" s="176"/>
      <c r="F53" s="177">
        <f>SUM(Res1S[[#This Row],[Small]],Res1I[[#This Row],[Small]])</f>
        <v>86013.80546995037</v>
      </c>
      <c r="G53" s="177">
        <f>SUM(Res1S[[#This Row],[Medium]],Res1I[[#This Row],[Medium]])</f>
        <v>160727.61093990074</v>
      </c>
      <c r="H53" s="177">
        <f>SUM(Res1S[[#This Row],[Large]],Res1I[[#This Row],[Large]])</f>
        <v>210536.81458653434</v>
      </c>
      <c r="I53" s="177">
        <f>SUM(Res1S[[#This Row],[Recommended]],Res1I[[#This Row],[Recommended]])</f>
        <v>193933.74670432316</v>
      </c>
      <c r="M53" s="50">
        <v>0.8</v>
      </c>
      <c r="N53" s="176">
        <v>0.12780625000000004</v>
      </c>
      <c r="O53" s="176"/>
      <c r="P53" s="177">
        <f>SUM(Res2S[[#This Row],[Small]],Res2I[[#This Row],[Small]])</f>
        <v>49538.177690709163</v>
      </c>
      <c r="Q53" s="177">
        <f>SUM(Res2S[[#This Row],[Medium]],Res2I[[#This Row],[Medium]])</f>
        <v>87776.355381418325</v>
      </c>
      <c r="R53" s="177">
        <f>SUM(Res2S[[#This Row],[Large]],Res2I[[#This Row],[Large]])</f>
        <v>113268.4738418911</v>
      </c>
      <c r="S53" s="177">
        <f>SUM(Res2S[[#This Row],[Recommended]],Res2I[[#This Row],[Recommended]])</f>
        <v>104771.10102173351</v>
      </c>
      <c r="W53" s="291">
        <v>695.76681818181828</v>
      </c>
      <c r="Y53" s="55">
        <v>0.8</v>
      </c>
      <c r="Z53" s="56" cm="1">
        <f t="array" ref="Z53">CPI*W53*Z$29+CPI*W53*(IndirectCom)</f>
        <v>490.7800100923842</v>
      </c>
      <c r="AA53" s="56" cm="1">
        <f t="array" ref="AA53">CPI*W53*AA$29+CPI*W53*(IndirectCom)</f>
        <v>631.00287011877958</v>
      </c>
      <c r="AB53" s="196" cm="1">
        <f t="array" ref="AB53">CPI*W53*AB$29+CPI*W53*(IndirectCom)</f>
        <v>911.44859017157069</v>
      </c>
      <c r="AC53" s="56" cm="1">
        <f t="array" ref="AC53">CPI*W53*AC$29+CPI*W53*(IndirectCom)</f>
        <v>1262.0057402375594</v>
      </c>
    </row>
    <row r="54" spans="3:29" x14ac:dyDescent="0.3">
      <c r="C54" s="50">
        <v>0.85</v>
      </c>
      <c r="D54" s="176"/>
      <c r="E54" s="176"/>
      <c r="F54" s="177">
        <f>SUM(Res1S[[#This Row],[Small]],Res1I[[#This Row],[Small]])</f>
        <v>88689.529885464857</v>
      </c>
      <c r="G54" s="177">
        <f>SUM(Res1S[[#This Row],[Medium]],Res1I[[#This Row],[Medium]])</f>
        <v>164804.05977092971</v>
      </c>
      <c r="H54" s="177">
        <f>SUM(Res1S[[#This Row],[Large]],Res1I[[#This Row],[Large]])</f>
        <v>215547.07969457295</v>
      </c>
      <c r="I54" s="177">
        <f>SUM(Res1S[[#This Row],[Recommended]],Res1I[[#This Row],[Recommended]])</f>
        <v>198632.73972002522</v>
      </c>
      <c r="M54" s="50">
        <v>0.85</v>
      </c>
      <c r="N54" s="176">
        <v>0.12894062500000003</v>
      </c>
      <c r="O54" s="176"/>
      <c r="P54" s="177">
        <f>SUM(Res2S[[#This Row],[Small]],Res2I[[#This Row],[Small]])</f>
        <v>51426.556141697263</v>
      </c>
      <c r="Q54" s="177">
        <f>SUM(Res2S[[#This Row],[Medium]],Res2I[[#This Row],[Medium]])</f>
        <v>90278.112283394526</v>
      </c>
      <c r="R54" s="177">
        <f>SUM(Res2S[[#This Row],[Large]],Res2I[[#This Row],[Large]])</f>
        <v>116179.1497111927</v>
      </c>
      <c r="S54" s="177">
        <f>SUM(Res2S[[#This Row],[Recommended]],Res2I[[#This Row],[Recommended]])</f>
        <v>107545.4705685933</v>
      </c>
      <c r="W54" s="291">
        <v>729.11090909090922</v>
      </c>
      <c r="Y54" s="55">
        <v>0.85</v>
      </c>
      <c r="Z54" s="56" cm="1">
        <f t="array" ref="Z54">CPI*W54*Z$29+CPI*W54*(IndirectCom)</f>
        <v>514.30026550733658</v>
      </c>
      <c r="AA54" s="56" cm="1">
        <f t="array" ref="AA54">CPI*W54*AA$29+CPI*W54*(IndirectCom)</f>
        <v>661.24319850943266</v>
      </c>
      <c r="AB54" s="196" cm="1">
        <f t="array" ref="AB54">CPI*W54*AB$29+CPI*W54*(IndirectCom)</f>
        <v>955.12906451362494</v>
      </c>
      <c r="AC54" s="56" cm="1">
        <f t="array" ref="AC54">CPI*W54*AC$29+CPI*W54*(IndirectCom)</f>
        <v>1322.4863970188655</v>
      </c>
    </row>
    <row r="55" spans="3:29" x14ac:dyDescent="0.3">
      <c r="C55" s="50">
        <v>0.9</v>
      </c>
      <c r="D55" s="176"/>
      <c r="E55" s="176"/>
      <c r="F55" s="177">
        <f>SUM(Res1S[[#This Row],[Small]],Res1I[[#This Row],[Small]])</f>
        <v>91365.254300979344</v>
      </c>
      <c r="G55" s="177">
        <f>SUM(Res1S[[#This Row],[Medium]],Res1I[[#This Row],[Medium]])</f>
        <v>168880.50860195869</v>
      </c>
      <c r="H55" s="177">
        <f>SUM(Res1S[[#This Row],[Large]],Res1I[[#This Row],[Large]])</f>
        <v>220557.34480261157</v>
      </c>
      <c r="I55" s="177">
        <f>SUM(Res1S[[#This Row],[Recommended]],Res1I[[#This Row],[Recommended]])</f>
        <v>203331.73273572727</v>
      </c>
      <c r="M55" s="50">
        <v>0.9</v>
      </c>
      <c r="N55" s="176">
        <v>0.13007500000000002</v>
      </c>
      <c r="O55" s="176"/>
      <c r="P55" s="177">
        <f>SUM(Res2S[[#This Row],[Small]],Res2I[[#This Row],[Small]])</f>
        <v>53314.934592685364</v>
      </c>
      <c r="Q55" s="177">
        <f>SUM(Res2S[[#This Row],[Medium]],Res2I[[#This Row],[Medium]])</f>
        <v>92779.869185370728</v>
      </c>
      <c r="R55" s="177">
        <f>SUM(Res2S[[#This Row],[Large]],Res2I[[#This Row],[Large]])</f>
        <v>119089.82558049432</v>
      </c>
      <c r="S55" s="177">
        <f>SUM(Res2S[[#This Row],[Recommended]],Res2I[[#This Row],[Recommended]])</f>
        <v>110319.84011545312</v>
      </c>
      <c r="W55" s="291">
        <v>762.45500000000015</v>
      </c>
      <c r="Y55" s="55">
        <v>0.9</v>
      </c>
      <c r="Z55" s="56" cm="1">
        <f t="array" ref="Z55">CPI*W55*Z$29+CPI*W55*(IndirectCom)</f>
        <v>537.82052092228878</v>
      </c>
      <c r="AA55" s="56" cm="1">
        <f t="array" ref="AA55">CPI*W55*AA$29+CPI*W55*(IndirectCom)</f>
        <v>691.48352690008551</v>
      </c>
      <c r="AB55" s="196" cm="1">
        <f t="array" ref="AB55">CPI*W55*AB$29+CPI*W55*(IndirectCom)</f>
        <v>998.80953885567919</v>
      </c>
      <c r="AC55" s="56" cm="1">
        <f t="array" ref="AC55">CPI*W55*AC$29+CPI*W55*(IndirectCom)</f>
        <v>1382.967053800171</v>
      </c>
    </row>
    <row r="56" spans="3:29" x14ac:dyDescent="0.3">
      <c r="C56" s="50">
        <v>0.95</v>
      </c>
      <c r="D56" s="176"/>
      <c r="E56" s="176"/>
      <c r="F56" s="177">
        <f>SUM(Res1S[[#This Row],[Small]],Res1I[[#This Row],[Small]])</f>
        <v>94040.978716493817</v>
      </c>
      <c r="G56" s="177">
        <f>SUM(Res1S[[#This Row],[Medium]],Res1I[[#This Row],[Medium]])</f>
        <v>172956.95743298763</v>
      </c>
      <c r="H56" s="177">
        <f>SUM(Res1S[[#This Row],[Large]],Res1I[[#This Row],[Large]])</f>
        <v>225567.60991065018</v>
      </c>
      <c r="I56" s="177">
        <f>SUM(Res1S[[#This Row],[Recommended]],Res1I[[#This Row],[Recommended]])</f>
        <v>208030.72575142936</v>
      </c>
      <c r="M56" s="50">
        <v>0.95</v>
      </c>
      <c r="N56" s="176">
        <v>0.13120937500000004</v>
      </c>
      <c r="O56" s="176"/>
      <c r="P56" s="177">
        <f>SUM(Res2S[[#This Row],[Small]],Res2I[[#This Row],[Small]])</f>
        <v>55203.313043673465</v>
      </c>
      <c r="Q56" s="177">
        <f>SUM(Res2S[[#This Row],[Medium]],Res2I[[#This Row],[Medium]])</f>
        <v>95281.626087346944</v>
      </c>
      <c r="R56" s="177">
        <f>SUM(Res2S[[#This Row],[Large]],Res2I[[#This Row],[Large]])</f>
        <v>122000.50144979592</v>
      </c>
      <c r="S56" s="177">
        <f>SUM(Res2S[[#This Row],[Recommended]],Res2I[[#This Row],[Recommended]])</f>
        <v>113094.20966231293</v>
      </c>
      <c r="W56" s="291">
        <v>795.79909090909098</v>
      </c>
      <c r="Y56" s="55">
        <v>0.95</v>
      </c>
      <c r="Z56" s="56" cm="1">
        <f t="array" ref="Z56">CPI*W56*Z$29+CPI*W56*(IndirectCom)</f>
        <v>561.34077633724098</v>
      </c>
      <c r="AA56" s="56" cm="1">
        <f t="array" ref="AA56">CPI*W56*AA$29+CPI*W56*(IndirectCom)</f>
        <v>721.72385529073836</v>
      </c>
      <c r="AB56" s="196" cm="1">
        <f t="array" ref="AB56">CPI*W56*AB$29+CPI*W56*(IndirectCom)</f>
        <v>1042.4900131977333</v>
      </c>
      <c r="AC56" s="56" cm="1">
        <f t="array" ref="AC56">CPI*W56*AC$29+CPI*W56*(IndirectCom)</f>
        <v>1443.4477105814767</v>
      </c>
    </row>
    <row r="57" spans="3:29" x14ac:dyDescent="0.3">
      <c r="C57" s="50">
        <v>1</v>
      </c>
      <c r="D57" s="176"/>
      <c r="E57" s="176"/>
      <c r="F57" s="177">
        <f>SUM(Res1S[[#This Row],[Small]],Res1I[[#This Row],[Small]])</f>
        <v>96716.70313200829</v>
      </c>
      <c r="G57" s="177">
        <f>SUM(Res1S[[#This Row],[Medium]],Res1I[[#This Row],[Medium]])</f>
        <v>177033.40626401658</v>
      </c>
      <c r="H57" s="177">
        <f>SUM(Res1S[[#This Row],[Large]],Res1I[[#This Row],[Large]])</f>
        <v>230577.87501868879</v>
      </c>
      <c r="I57" s="177">
        <f>SUM(Res1S[[#This Row],[Recommended]],Res1I[[#This Row],[Recommended]])</f>
        <v>212729.71876713139</v>
      </c>
      <c r="M57" s="50">
        <v>1</v>
      </c>
      <c r="N57" s="176">
        <v>0.13234375000000004</v>
      </c>
      <c r="O57" s="176"/>
      <c r="P57" s="177">
        <f>SUM(Res2S[[#This Row],[Small]],Res2I[[#This Row],[Small]])</f>
        <v>57091.691494661573</v>
      </c>
      <c r="Q57" s="177">
        <f>SUM(Res2S[[#This Row],[Medium]],Res2I[[#This Row],[Medium]])</f>
        <v>97783.382989323145</v>
      </c>
      <c r="R57" s="177">
        <f>SUM(Res2S[[#This Row],[Large]],Res2I[[#This Row],[Large]])</f>
        <v>124911.17731909752</v>
      </c>
      <c r="S57" s="177">
        <f>SUM(Res2S[[#This Row],[Recommended]],Res2I[[#This Row],[Recommended]])</f>
        <v>115868.57920917273</v>
      </c>
      <c r="W57" s="291">
        <v>829.14318181818192</v>
      </c>
      <c r="Y57" s="55">
        <v>1</v>
      </c>
      <c r="Z57" s="56" cm="1">
        <f t="array" ref="Z57">CPI*W57*Z$29+CPI*W57*(IndirectCom)</f>
        <v>584.86103175219318</v>
      </c>
      <c r="AA57" s="56" cm="1">
        <f t="array" ref="AA57">CPI*W57*AA$29+CPI*W57*(IndirectCom)</f>
        <v>751.96418368139121</v>
      </c>
      <c r="AB57" s="196" cm="1">
        <f t="array" ref="AB57">CPI*W57*AB$29+CPI*W57*(IndirectCom)</f>
        <v>1086.1704875397875</v>
      </c>
      <c r="AC57" s="56" cm="1">
        <f t="array" ref="AC57">CPI*W57*AC$29+CPI*W57*(IndirectCom)</f>
        <v>1503.9283673627826</v>
      </c>
    </row>
    <row r="58" spans="3:29" x14ac:dyDescent="0.3">
      <c r="C58" s="50">
        <v>1.05</v>
      </c>
      <c r="D58" s="176"/>
      <c r="E58" s="176"/>
      <c r="F58" s="177">
        <f>SUM(Res1S[[#This Row],[Small]],Res1I[[#This Row],[Small]])</f>
        <v>98128.73771769114</v>
      </c>
      <c r="G58" s="177">
        <f>SUM(Res1S[[#This Row],[Medium]],Res1I[[#This Row],[Medium]])</f>
        <v>179857.47543538228</v>
      </c>
      <c r="H58" s="177">
        <f>SUM(Res1S[[#This Row],[Large]],Res1I[[#This Row],[Large]])</f>
        <v>234343.30058050971</v>
      </c>
      <c r="I58" s="177">
        <f>SUM(Res1S[[#This Row],[Recommended]],Res1I[[#This Row],[Recommended]])</f>
        <v>216181.35886546725</v>
      </c>
      <c r="M58" s="50">
        <v>1.05</v>
      </c>
      <c r="N58" s="176">
        <v>0.13552000000000003</v>
      </c>
      <c r="O58" s="176"/>
      <c r="P58" s="177">
        <f>SUM(Res2S[[#This Row],[Small]],Res2I[[#This Row],[Small]])</f>
        <v>57771.232657913788</v>
      </c>
      <c r="Q58" s="177">
        <f>SUM(Res2S[[#This Row],[Medium]],Res2I[[#This Row],[Medium]])</f>
        <v>99142.465315827576</v>
      </c>
      <c r="R58" s="177">
        <f>SUM(Res2S[[#This Row],[Large]],Res2I[[#This Row],[Large]])</f>
        <v>126723.28708777012</v>
      </c>
      <c r="S58" s="177">
        <f>SUM(Res2S[[#This Row],[Recommended]],Res2I[[#This Row],[Recommended]])</f>
        <v>117529.67983045593</v>
      </c>
      <c r="W58" s="291">
        <v>862.48727272727285</v>
      </c>
      <c r="Y58" s="55">
        <v>1.05</v>
      </c>
      <c r="Z58" s="56" cm="1">
        <f t="array" ref="Z58">CPI*W58*Z$29+CPI*W58*(IndirectCom)</f>
        <v>608.3812871671455</v>
      </c>
      <c r="AA58" s="56" cm="1">
        <f t="array" ref="AA58">CPI*W58*AA$29+CPI*W58*(IndirectCom)</f>
        <v>782.20451207204417</v>
      </c>
      <c r="AB58" s="196" cm="1">
        <f t="array" ref="AB58">CPI*W58*AB$29+CPI*W58*(IndirectCom)</f>
        <v>1129.8509618818416</v>
      </c>
      <c r="AC58" s="56" cm="1">
        <f t="array" ref="AC58">CPI*W58*AC$29+CPI*W58*(IndirectCom)</f>
        <v>1564.4090241440886</v>
      </c>
    </row>
    <row r="59" spans="3:29" x14ac:dyDescent="0.3">
      <c r="C59" s="50">
        <v>1.1000000000000001</v>
      </c>
      <c r="D59" s="176"/>
      <c r="E59" s="176"/>
      <c r="F59" s="177">
        <f>SUM(Res1S[[#This Row],[Small]],Res1I[[#This Row],[Small]])</f>
        <v>99540.77230337396</v>
      </c>
      <c r="G59" s="177">
        <f>SUM(Res1S[[#This Row],[Medium]],Res1I[[#This Row],[Medium]])</f>
        <v>182681.54460674792</v>
      </c>
      <c r="H59" s="177">
        <f>SUM(Res1S[[#This Row],[Large]],Res1I[[#This Row],[Large]])</f>
        <v>238108.72614233059</v>
      </c>
      <c r="I59" s="177">
        <f>SUM(Res1S[[#This Row],[Recommended]],Res1I[[#This Row],[Recommended]])</f>
        <v>219632.99896380305</v>
      </c>
      <c r="M59" s="50">
        <v>1.1000000000000001</v>
      </c>
      <c r="N59" s="176">
        <v>0.13869625000000005</v>
      </c>
      <c r="O59" s="176"/>
      <c r="P59" s="177">
        <f>SUM(Res2S[[#This Row],[Small]],Res2I[[#This Row],[Small]])</f>
        <v>58450.773821166018</v>
      </c>
      <c r="Q59" s="177">
        <f>SUM(Res2S[[#This Row],[Medium]],Res2I[[#This Row],[Medium]])</f>
        <v>100501.54764233204</v>
      </c>
      <c r="R59" s="177">
        <f>SUM(Res2S[[#This Row],[Large]],Res2I[[#This Row],[Large]])</f>
        <v>128535.39685644271</v>
      </c>
      <c r="S59" s="177">
        <f>SUM(Res2S[[#This Row],[Recommended]],Res2I[[#This Row],[Recommended]])</f>
        <v>119190.78045173915</v>
      </c>
      <c r="W59" s="291">
        <v>895.83136363636379</v>
      </c>
      <c r="Y59" s="55">
        <v>1.1000000000000001</v>
      </c>
      <c r="Z59" s="56" cm="1">
        <f t="array" ref="Z59">CPI*W59*Z$29+CPI*W59*(IndirectCom)</f>
        <v>631.90154258209782</v>
      </c>
      <c r="AA59" s="56" cm="1">
        <f t="array" ref="AA59">CPI*W59*AA$29+CPI*W59*(IndirectCom)</f>
        <v>812.44484046269724</v>
      </c>
      <c r="AB59" s="196" cm="1">
        <f t="array" ref="AB59">CPI*W59*AB$29+CPI*W59*(IndirectCom)</f>
        <v>1173.531436223896</v>
      </c>
      <c r="AC59" s="56" cm="1">
        <f t="array" ref="AC59">CPI*W59*AC$29+CPI*W59*(IndirectCom)</f>
        <v>1624.8896809253943</v>
      </c>
    </row>
    <row r="60" spans="3:29" x14ac:dyDescent="0.3">
      <c r="C60" s="50">
        <v>1.1499999999999999</v>
      </c>
      <c r="D60" s="176"/>
      <c r="E60" s="176"/>
      <c r="F60" s="177">
        <f>SUM(Res1S[[#This Row],[Small]],Res1I[[#This Row],[Small]])</f>
        <v>100952.8068890568</v>
      </c>
      <c r="G60" s="177">
        <f>SUM(Res1S[[#This Row],[Medium]],Res1I[[#This Row],[Medium]])</f>
        <v>185505.61377811359</v>
      </c>
      <c r="H60" s="177">
        <f>SUM(Res1S[[#This Row],[Large]],Res1I[[#This Row],[Large]])</f>
        <v>241874.15170415145</v>
      </c>
      <c r="I60" s="177">
        <f>SUM(Res1S[[#This Row],[Recommended]],Res1I[[#This Row],[Recommended]])</f>
        <v>223084.63906213883</v>
      </c>
      <c r="M60" s="50">
        <v>1.1499999999999999</v>
      </c>
      <c r="N60" s="176">
        <v>0.14187250000000004</v>
      </c>
      <c r="O60" s="176"/>
      <c r="P60" s="177">
        <f>SUM(Res2S[[#This Row],[Small]],Res2I[[#This Row],[Small]])</f>
        <v>59130.314984418234</v>
      </c>
      <c r="Q60" s="177">
        <f>SUM(Res2S[[#This Row],[Medium]],Res2I[[#This Row],[Medium]])</f>
        <v>101860.62996883647</v>
      </c>
      <c r="R60" s="177">
        <f>SUM(Res2S[[#This Row],[Large]],Res2I[[#This Row],[Large]])</f>
        <v>130347.50662511529</v>
      </c>
      <c r="S60" s="177">
        <f>SUM(Res2S[[#This Row],[Recommended]],Res2I[[#This Row],[Recommended]])</f>
        <v>120851.88107302233</v>
      </c>
      <c r="W60" s="291">
        <v>929.17545454545461</v>
      </c>
      <c r="Y60" s="55">
        <v>1.1499999999999999</v>
      </c>
      <c r="Z60" s="56" cm="1">
        <f t="array" ref="Z60">CPI*W60*Z$29+CPI*W60*(IndirectCom)</f>
        <v>655.42179799705002</v>
      </c>
      <c r="AA60" s="56" cm="1">
        <f t="array" ref="AA60">CPI*W60*AA$29+CPI*W60*(IndirectCom)</f>
        <v>842.68516885334998</v>
      </c>
      <c r="AB60" s="196" cm="1">
        <f t="array" ref="AB60">CPI*W60*AB$29+CPI*W60*(IndirectCom)</f>
        <v>1217.2119105659499</v>
      </c>
      <c r="AC60" s="56" cm="1">
        <f t="array" ref="AC60">CPI*W60*AC$29+CPI*W60*(IndirectCom)</f>
        <v>1685.3703377067</v>
      </c>
    </row>
    <row r="61" spans="3:29" x14ac:dyDescent="0.3">
      <c r="C61" s="50">
        <v>1.2</v>
      </c>
      <c r="D61" s="176"/>
      <c r="E61" s="176"/>
      <c r="F61" s="177">
        <f>SUM(Res1S[[#This Row],[Small]],Res1I[[#This Row],[Small]])</f>
        <v>102364.84147473963</v>
      </c>
      <c r="G61" s="177">
        <f>SUM(Res1S[[#This Row],[Medium]],Res1I[[#This Row],[Medium]])</f>
        <v>188329.68294947926</v>
      </c>
      <c r="H61" s="177">
        <f>SUM(Res1S[[#This Row],[Large]],Res1I[[#This Row],[Large]])</f>
        <v>245639.57726597233</v>
      </c>
      <c r="I61" s="177">
        <f>SUM(Res1S[[#This Row],[Recommended]],Res1I[[#This Row],[Recommended]])</f>
        <v>226536.27916047466</v>
      </c>
      <c r="M61" s="50">
        <v>1.2</v>
      </c>
      <c r="N61" s="176">
        <v>0.14504875000000003</v>
      </c>
      <c r="O61" s="176"/>
      <c r="P61" s="177">
        <f>SUM(Res2S[[#This Row],[Small]],Res2I[[#This Row],[Small]])</f>
        <v>59809.856147670449</v>
      </c>
      <c r="Q61" s="177">
        <f>SUM(Res2S[[#This Row],[Medium]],Res2I[[#This Row],[Medium]])</f>
        <v>103219.7122953409</v>
      </c>
      <c r="R61" s="177">
        <f>SUM(Res2S[[#This Row],[Large]],Res2I[[#This Row],[Large]])</f>
        <v>132159.61639378784</v>
      </c>
      <c r="S61" s="177">
        <f>SUM(Res2S[[#This Row],[Recommended]],Res2I[[#This Row],[Recommended]])</f>
        <v>122512.98169430555</v>
      </c>
      <c r="W61" s="291">
        <v>962.51954545454555</v>
      </c>
      <c r="Y61" s="55">
        <v>1.2</v>
      </c>
      <c r="Z61" s="56" cm="1">
        <f t="array" ref="Z61">CPI*W61*Z$29+CPI*W61*(IndirectCom)</f>
        <v>678.94205341200222</v>
      </c>
      <c r="AA61" s="56" cm="1">
        <f t="array" ref="AA61">CPI*W61*AA$29+CPI*W61*(IndirectCom)</f>
        <v>872.92549724400283</v>
      </c>
      <c r="AB61" s="196" cm="1">
        <f t="array" ref="AB61">CPI*W61*AB$29+CPI*W61*(IndirectCom)</f>
        <v>1260.8923849080043</v>
      </c>
      <c r="AC61" s="56" cm="1">
        <f t="array" ref="AC61">CPI*W61*AC$29+CPI*W61*(IndirectCom)</f>
        <v>1745.8509944880059</v>
      </c>
    </row>
    <row r="62" spans="3:29" x14ac:dyDescent="0.3">
      <c r="C62" s="50">
        <v>1.25</v>
      </c>
      <c r="D62" s="176"/>
      <c r="E62" s="176"/>
      <c r="F62" s="177">
        <f>SUM(Res1S[[#This Row],[Small]],Res1I[[#This Row],[Small]])</f>
        <v>103776.87606042245</v>
      </c>
      <c r="G62" s="177">
        <f>SUM(Res1S[[#This Row],[Medium]],Res1I[[#This Row],[Medium]])</f>
        <v>191153.7521208449</v>
      </c>
      <c r="H62" s="177">
        <f>SUM(Res1S[[#This Row],[Large]],Res1I[[#This Row],[Large]])</f>
        <v>249405.00282779321</v>
      </c>
      <c r="I62" s="177">
        <f>SUM(Res1S[[#This Row],[Recommended]],Res1I[[#This Row],[Recommended]])</f>
        <v>229987.91925881046</v>
      </c>
      <c r="M62" s="50">
        <v>1.25</v>
      </c>
      <c r="N62" s="176">
        <v>0.14822500000000005</v>
      </c>
      <c r="O62" s="176"/>
      <c r="P62" s="177">
        <f>SUM(Res2S[[#This Row],[Small]],Res2I[[#This Row],[Small]])</f>
        <v>60489.397310922679</v>
      </c>
      <c r="Q62" s="177">
        <f>SUM(Res2S[[#This Row],[Medium]],Res2I[[#This Row],[Medium]])</f>
        <v>104578.79462184536</v>
      </c>
      <c r="R62" s="177">
        <f>SUM(Res2S[[#This Row],[Large]],Res2I[[#This Row],[Large]])</f>
        <v>133971.72616246046</v>
      </c>
      <c r="S62" s="177">
        <f>SUM(Res2S[[#This Row],[Recommended]],Res2I[[#This Row],[Recommended]])</f>
        <v>124174.08231558875</v>
      </c>
      <c r="W62" s="291">
        <v>995.86363636363649</v>
      </c>
      <c r="Y62" s="55">
        <v>1.25</v>
      </c>
      <c r="Z62" s="56" cm="1">
        <f t="array" ref="Z62">CPI*W62*Z$29+CPI*W62*(IndirectCom)</f>
        <v>702.46230882695454</v>
      </c>
      <c r="AA62" s="56" cm="1">
        <f t="array" ref="AA62">CPI*W62*AA$29+CPI*W62*(IndirectCom)</f>
        <v>903.16582563465579</v>
      </c>
      <c r="AB62" s="196" cm="1">
        <f t="array" ref="AB62">CPI*W62*AB$29+CPI*W62*(IndirectCom)</f>
        <v>1304.5728592500584</v>
      </c>
      <c r="AC62" s="56" cm="1">
        <f t="array" ref="AC62">CPI*W62*AC$29+CPI*W62*(IndirectCom)</f>
        <v>1806.3316512693118</v>
      </c>
    </row>
    <row r="63" spans="3:29" x14ac:dyDescent="0.3">
      <c r="C63" s="50">
        <v>1.3</v>
      </c>
      <c r="D63" s="176"/>
      <c r="E63" s="176"/>
      <c r="F63" s="177">
        <f>SUM(Res1S[[#This Row],[Small]],Res1I[[#This Row],[Small]])</f>
        <v>105188.9106461053</v>
      </c>
      <c r="G63" s="177">
        <f>SUM(Res1S[[#This Row],[Medium]],Res1I[[#This Row],[Medium]])</f>
        <v>193977.8212922106</v>
      </c>
      <c r="H63" s="177">
        <f>SUM(Res1S[[#This Row],[Large]],Res1I[[#This Row],[Large]])</f>
        <v>253170.4283896141</v>
      </c>
      <c r="I63" s="177">
        <f>SUM(Res1S[[#This Row],[Recommended]],Res1I[[#This Row],[Recommended]])</f>
        <v>233439.55935714627</v>
      </c>
      <c r="M63" s="50">
        <v>1.3</v>
      </c>
      <c r="N63" s="176">
        <v>0.15140125000000004</v>
      </c>
      <c r="O63" s="176"/>
      <c r="P63" s="177">
        <f>SUM(Res2S[[#This Row],[Small]],Res2I[[#This Row],[Small]])</f>
        <v>61168.938474174895</v>
      </c>
      <c r="Q63" s="177">
        <f>SUM(Res2S[[#This Row],[Medium]],Res2I[[#This Row],[Medium]])</f>
        <v>105937.87694834979</v>
      </c>
      <c r="R63" s="177">
        <f>SUM(Res2S[[#This Row],[Large]],Res2I[[#This Row],[Large]])</f>
        <v>135783.83593113304</v>
      </c>
      <c r="S63" s="177">
        <f>SUM(Res2S[[#This Row],[Recommended]],Res2I[[#This Row],[Recommended]])</f>
        <v>125835.18293687196</v>
      </c>
      <c r="W63" s="291">
        <v>1008.0353030303031</v>
      </c>
      <c r="Y63" s="55">
        <v>1.3</v>
      </c>
      <c r="Z63" s="56" cm="1">
        <f t="array" ref="Z63">CPI*W63*Z$29+CPI*W63*(IndirectCom)</f>
        <v>711.0479592681728</v>
      </c>
      <c r="AA63" s="56" cm="1">
        <f t="array" ref="AA63">CPI*W63*AA$29+CPI*W63*(IndirectCom)</f>
        <v>914.2045190590793</v>
      </c>
      <c r="AB63" s="196" cm="1">
        <f t="array" ref="AB63">CPI*W63*AB$29+CPI*W63*(IndirectCom)</f>
        <v>1320.5176386408923</v>
      </c>
      <c r="AC63" s="56" cm="1">
        <f t="array" ref="AC63">CPI*W63*AC$29+CPI*W63*(IndirectCom)</f>
        <v>1828.4090381181586</v>
      </c>
    </row>
    <row r="64" spans="3:29" x14ac:dyDescent="0.3">
      <c r="C64" s="50">
        <v>1.35</v>
      </c>
      <c r="D64" s="176"/>
      <c r="E64" s="176"/>
      <c r="F64" s="177">
        <f>SUM(Res1S[[#This Row],[Small]],Res1I[[#This Row],[Small]])</f>
        <v>106600.94523178812</v>
      </c>
      <c r="G64" s="177">
        <f>SUM(Res1S[[#This Row],[Medium]],Res1I[[#This Row],[Medium]])</f>
        <v>196801.89046357624</v>
      </c>
      <c r="H64" s="177">
        <f>SUM(Res1S[[#This Row],[Large]],Res1I[[#This Row],[Large]])</f>
        <v>256935.85395143501</v>
      </c>
      <c r="I64" s="177">
        <f>SUM(Res1S[[#This Row],[Recommended]],Res1I[[#This Row],[Recommended]])</f>
        <v>236891.19945548207</v>
      </c>
      <c r="M64" s="50">
        <v>1.35</v>
      </c>
      <c r="N64" s="176">
        <v>0.15457750000000003</v>
      </c>
      <c r="O64" s="176"/>
      <c r="P64" s="177">
        <f>SUM(Res2S[[#This Row],[Small]],Res2I[[#This Row],[Small]])</f>
        <v>61848.47963742711</v>
      </c>
      <c r="Q64" s="177">
        <f>SUM(Res2S[[#This Row],[Medium]],Res2I[[#This Row],[Medium]])</f>
        <v>107296.95927485422</v>
      </c>
      <c r="R64" s="177">
        <f>SUM(Res2S[[#This Row],[Large]],Res2I[[#This Row],[Large]])</f>
        <v>137595.94569980563</v>
      </c>
      <c r="S64" s="177">
        <f>SUM(Res2S[[#This Row],[Recommended]],Res2I[[#This Row],[Recommended]])</f>
        <v>127496.28355815516</v>
      </c>
      <c r="W64" s="291">
        <v>1020.2069696969697</v>
      </c>
      <c r="Y64" s="55">
        <v>1.35</v>
      </c>
      <c r="Z64" s="56" cm="1">
        <f t="array" ref="Z64">CPI*W64*Z$29+CPI*W64*(IndirectCom)</f>
        <v>719.63360970939118</v>
      </c>
      <c r="AA64" s="56" cm="1">
        <f t="array" ref="AA64">CPI*W64*AA$29+CPI*W64*(IndirectCom)</f>
        <v>925.24321248350293</v>
      </c>
      <c r="AB64" s="196" cm="1">
        <f t="array" ref="AB64">CPI*W64*AB$29+CPI*W64*(IndirectCom)</f>
        <v>1336.4624180317264</v>
      </c>
      <c r="AC64" s="56" cm="1">
        <f t="array" ref="AC64">CPI*W64*AC$29+CPI*W64*(IndirectCom)</f>
        <v>1850.4864249670059</v>
      </c>
    </row>
    <row r="65" spans="3:29" x14ac:dyDescent="0.3">
      <c r="C65" s="50">
        <v>1.4</v>
      </c>
      <c r="D65" s="176"/>
      <c r="E65" s="176"/>
      <c r="F65" s="177">
        <f>SUM(Res1S[[#This Row],[Small]],Res1I[[#This Row],[Small]])</f>
        <v>108012.97981747094</v>
      </c>
      <c r="G65" s="177">
        <f>SUM(Res1S[[#This Row],[Medium]],Res1I[[#This Row],[Medium]])</f>
        <v>199625.95963494189</v>
      </c>
      <c r="H65" s="177">
        <f>SUM(Res1S[[#This Row],[Large]],Res1I[[#This Row],[Large]])</f>
        <v>260701.27951325587</v>
      </c>
      <c r="I65" s="177">
        <f>SUM(Res1S[[#This Row],[Recommended]],Res1I[[#This Row],[Recommended]])</f>
        <v>240342.83955381787</v>
      </c>
      <c r="M65" s="50">
        <v>1.4</v>
      </c>
      <c r="N65" s="176">
        <v>0.15775375000000003</v>
      </c>
      <c r="O65" s="176"/>
      <c r="P65" s="177">
        <f>SUM(Res2S[[#This Row],[Small]],Res2I[[#This Row],[Small]])</f>
        <v>62528.02080067934</v>
      </c>
      <c r="Q65" s="177">
        <f>SUM(Res2S[[#This Row],[Medium]],Res2I[[#This Row],[Medium]])</f>
        <v>108656.04160135867</v>
      </c>
      <c r="R65" s="177">
        <f>SUM(Res2S[[#This Row],[Large]],Res2I[[#This Row],[Large]])</f>
        <v>139408.05546847821</v>
      </c>
      <c r="S65" s="177">
        <f>SUM(Res2S[[#This Row],[Recommended]],Res2I[[#This Row],[Recommended]])</f>
        <v>129157.38417943838</v>
      </c>
      <c r="W65" s="291">
        <v>1032.3786363636364</v>
      </c>
      <c r="Y65" s="55">
        <v>1.4</v>
      </c>
      <c r="Z65" s="56" cm="1">
        <f t="array" ref="Z65">CPI*W65*Z$29+CPI*W65*(IndirectCom)</f>
        <v>728.21926015060944</v>
      </c>
      <c r="AA65" s="56" cm="1">
        <f t="array" ref="AA65">CPI*W65*AA$29+CPI*W65*(IndirectCom)</f>
        <v>936.28190590792633</v>
      </c>
      <c r="AB65" s="196" cm="1">
        <f t="array" ref="AB65">CPI*W65*AB$29+CPI*W65*(IndirectCom)</f>
        <v>1352.4071974225603</v>
      </c>
      <c r="AC65" s="56" cm="1">
        <f t="array" ref="AC65">CPI*W65*AC$29+CPI*W65*(IndirectCom)</f>
        <v>1872.5638118158529</v>
      </c>
    </row>
    <row r="66" spans="3:29" x14ac:dyDescent="0.3">
      <c r="C66" s="50">
        <v>1.45</v>
      </c>
      <c r="D66" s="176"/>
      <c r="E66" s="176"/>
      <c r="F66" s="177">
        <f>SUM(Res1S[[#This Row],[Small]],Res1I[[#This Row],[Small]])</f>
        <v>109425.01440315376</v>
      </c>
      <c r="G66" s="177">
        <f>SUM(Res1S[[#This Row],[Medium]],Res1I[[#This Row],[Medium]])</f>
        <v>202450.02880630753</v>
      </c>
      <c r="H66" s="177">
        <f>SUM(Res1S[[#This Row],[Large]],Res1I[[#This Row],[Large]])</f>
        <v>264466.70507507672</v>
      </c>
      <c r="I66" s="177">
        <f>SUM(Res1S[[#This Row],[Recommended]],Res1I[[#This Row],[Recommended]])</f>
        <v>243794.47965215368</v>
      </c>
      <c r="M66" s="50">
        <v>1.45</v>
      </c>
      <c r="N66" s="176">
        <v>0.16093000000000005</v>
      </c>
      <c r="O66" s="176"/>
      <c r="P66" s="177">
        <f>SUM(Res2S[[#This Row],[Small]],Res2I[[#This Row],[Small]])</f>
        <v>63207.561963931556</v>
      </c>
      <c r="Q66" s="177">
        <f>SUM(Res2S[[#This Row],[Medium]],Res2I[[#This Row],[Medium]])</f>
        <v>110015.12392786311</v>
      </c>
      <c r="R66" s="177">
        <f>SUM(Res2S[[#This Row],[Large]],Res2I[[#This Row],[Large]])</f>
        <v>141220.16523715082</v>
      </c>
      <c r="S66" s="177">
        <f>SUM(Res2S[[#This Row],[Recommended]],Res2I[[#This Row],[Recommended]])</f>
        <v>130818.48480072158</v>
      </c>
      <c r="W66" s="291">
        <v>1044.550303030303</v>
      </c>
      <c r="Y66" s="55">
        <v>1.45</v>
      </c>
      <c r="Z66" s="56" cm="1">
        <f t="array" ref="Z66">CPI*W66*Z$29+CPI*W66*(IndirectCom)</f>
        <v>736.80491059182782</v>
      </c>
      <c r="AA66" s="56" cm="1">
        <f t="array" ref="AA66">CPI*W66*AA$29+CPI*W66*(IndirectCom)</f>
        <v>947.32059933234996</v>
      </c>
      <c r="AB66" s="196" cm="1">
        <f t="array" ref="AB66">CPI*W66*AB$29+CPI*W66*(IndirectCom)</f>
        <v>1368.3519768133945</v>
      </c>
      <c r="AC66" s="56" cm="1">
        <f t="array" ref="AC66">CPI*W66*AC$29+CPI*W66*(IndirectCom)</f>
        <v>1894.6411986646999</v>
      </c>
    </row>
    <row r="67" spans="3:29" x14ac:dyDescent="0.3">
      <c r="C67" s="50">
        <v>1.5</v>
      </c>
      <c r="D67" s="176"/>
      <c r="E67" s="176"/>
      <c r="F67" s="177">
        <f>SUM(Res1S[[#This Row],[Small]],Res1I[[#This Row],[Small]])</f>
        <v>110837.04898883661</v>
      </c>
      <c r="G67" s="177">
        <f>SUM(Res1S[[#This Row],[Medium]],Res1I[[#This Row],[Medium]])</f>
        <v>205274.09797767323</v>
      </c>
      <c r="H67" s="177">
        <f>SUM(Res1S[[#This Row],[Large]],Res1I[[#This Row],[Large]])</f>
        <v>268232.13063689764</v>
      </c>
      <c r="I67" s="177">
        <f>SUM(Res1S[[#This Row],[Recommended]],Res1I[[#This Row],[Recommended]])</f>
        <v>247246.11975048948</v>
      </c>
      <c r="M67" s="50">
        <v>1.5</v>
      </c>
      <c r="N67" s="176">
        <v>0.16410625000000004</v>
      </c>
      <c r="O67" s="176"/>
      <c r="P67" s="177">
        <f>SUM(Res2S[[#This Row],[Small]],Res2I[[#This Row],[Small]])</f>
        <v>63887.103127183771</v>
      </c>
      <c r="Q67" s="177">
        <f>SUM(Res2S[[#This Row],[Medium]],Res2I[[#This Row],[Medium]])</f>
        <v>111374.20625436754</v>
      </c>
      <c r="R67" s="177">
        <f>SUM(Res2S[[#This Row],[Large]],Res2I[[#This Row],[Large]])</f>
        <v>143032.27500582341</v>
      </c>
      <c r="S67" s="177">
        <f>SUM(Res2S[[#This Row],[Recommended]],Res2I[[#This Row],[Recommended]])</f>
        <v>132479.58542200481</v>
      </c>
      <c r="W67" s="291">
        <v>1056.7219696969696</v>
      </c>
      <c r="Y67" s="55">
        <v>1.5</v>
      </c>
      <c r="Z67" s="56" cm="1">
        <f t="array" ref="Z67">CPI*W67*Z$29+CPI*W67*(IndirectCom)</f>
        <v>745.39056103304597</v>
      </c>
      <c r="AA67" s="56" cm="1">
        <f t="array" ref="AA67">CPI*W67*AA$29+CPI*W67*(IndirectCom)</f>
        <v>958.35929275677336</v>
      </c>
      <c r="AB67" s="196" cm="1">
        <f t="array" ref="AB67">CPI*W67*AB$29+CPI*W67*(IndirectCom)</f>
        <v>1384.2967562042284</v>
      </c>
      <c r="AC67" s="56" cm="1">
        <f t="array" ref="AC67">CPI*W67*AC$29+CPI*W67*(IndirectCom)</f>
        <v>1916.7185855135469</v>
      </c>
    </row>
    <row r="68" spans="3:29" x14ac:dyDescent="0.3">
      <c r="C68" s="50">
        <v>1.55</v>
      </c>
      <c r="D68" s="176"/>
      <c r="E68" s="176"/>
      <c r="F68" s="177">
        <f>SUM(Res1S[[#This Row],[Small]],Res1I[[#This Row],[Small]])</f>
        <v>111414.64761214607</v>
      </c>
      <c r="G68" s="177">
        <f>SUM(Res1S[[#This Row],[Medium]],Res1I[[#This Row],[Medium]])</f>
        <v>206429.29522429215</v>
      </c>
      <c r="H68" s="177">
        <f>SUM(Res1S[[#This Row],[Large]],Res1I[[#This Row],[Large]])</f>
        <v>269772.39363238955</v>
      </c>
      <c r="I68" s="177">
        <f>SUM(Res1S[[#This Row],[Recommended]],Res1I[[#This Row],[Recommended]])</f>
        <v>248658.02749635704</v>
      </c>
      <c r="M68" s="50">
        <v>1.55</v>
      </c>
      <c r="N68" s="176">
        <v>0.16481208333333336</v>
      </c>
      <c r="O68" s="176"/>
      <c r="P68" s="177">
        <f>SUM(Res2S[[#This Row],[Small]],Res2I[[#This Row],[Small]])</f>
        <v>64107.704511130636</v>
      </c>
      <c r="Q68" s="177">
        <f>SUM(Res2S[[#This Row],[Medium]],Res2I[[#This Row],[Medium]])</f>
        <v>111815.40902226127</v>
      </c>
      <c r="R68" s="177">
        <f>SUM(Res2S[[#This Row],[Large]],Res2I[[#This Row],[Large]])</f>
        <v>143620.54536301503</v>
      </c>
      <c r="S68" s="177">
        <f>SUM(Res2S[[#This Row],[Recommended]],Res2I[[#This Row],[Recommended]])</f>
        <v>133018.83324943046</v>
      </c>
      <c r="W68" s="291">
        <v>1068.8936363636362</v>
      </c>
      <c r="Y68" s="55">
        <v>1.55</v>
      </c>
      <c r="Z68" s="56" cm="1">
        <f t="array" ref="Z68">CPI*W68*Z$29+CPI*W68*(IndirectCom)</f>
        <v>753.97621147426435</v>
      </c>
      <c r="AA68" s="56" cm="1">
        <f t="array" ref="AA68">CPI*W68*AA$29+CPI*W68*(IndirectCom)</f>
        <v>969.39798618119698</v>
      </c>
      <c r="AB68" s="196" cm="1">
        <f t="array" ref="AB68">CPI*W68*AB$29+CPI*W68*(IndirectCom)</f>
        <v>1400.2415355950625</v>
      </c>
      <c r="AC68" s="56" cm="1">
        <f t="array" ref="AC68">CPI*W68*AC$29+CPI*W68*(IndirectCom)</f>
        <v>1938.7959723623942</v>
      </c>
    </row>
    <row r="69" spans="3:29" x14ac:dyDescent="0.3">
      <c r="C69" s="50">
        <v>1.6</v>
      </c>
      <c r="D69" s="176"/>
      <c r="E69" s="176"/>
      <c r="F69" s="177">
        <f>SUM(Res1S[[#This Row],[Small]],Res1I[[#This Row],[Small]])</f>
        <v>111992.24623545553</v>
      </c>
      <c r="G69" s="177">
        <f>SUM(Res1S[[#This Row],[Medium]],Res1I[[#This Row],[Medium]])</f>
        <v>207584.49247091106</v>
      </c>
      <c r="H69" s="177">
        <f>SUM(Res1S[[#This Row],[Large]],Res1I[[#This Row],[Large]])</f>
        <v>271312.6566278814</v>
      </c>
      <c r="I69" s="177">
        <f>SUM(Res1S[[#This Row],[Recommended]],Res1I[[#This Row],[Recommended]])</f>
        <v>250069.9352422246</v>
      </c>
      <c r="M69" s="50">
        <v>1.6</v>
      </c>
      <c r="N69" s="176">
        <v>0.16551791666666671</v>
      </c>
      <c r="O69" s="176"/>
      <c r="P69" s="177">
        <f>SUM(Res2S[[#This Row],[Small]],Res2I[[#This Row],[Small]])</f>
        <v>64328.305895077508</v>
      </c>
      <c r="Q69" s="177">
        <f>SUM(Res2S[[#This Row],[Medium]],Res2I[[#This Row],[Medium]])</f>
        <v>112256.61179015502</v>
      </c>
      <c r="R69" s="177">
        <f>SUM(Res2S[[#This Row],[Large]],Res2I[[#This Row],[Large]])</f>
        <v>144208.81572020668</v>
      </c>
      <c r="S69" s="177">
        <f>SUM(Res2S[[#This Row],[Recommended]],Res2I[[#This Row],[Recommended]])</f>
        <v>133558.08107685612</v>
      </c>
      <c r="W69" s="291">
        <v>1081.0653030303031</v>
      </c>
      <c r="Y69" s="55">
        <v>1.6</v>
      </c>
      <c r="Z69" s="56" cm="1">
        <f t="array" ref="Z69">CPI*W69*Z$29+CPI*W69*(IndirectCom)</f>
        <v>762.56186191548272</v>
      </c>
      <c r="AA69" s="56" cm="1">
        <f t="array" ref="AA69">CPI*W69*AA$29+CPI*W69*(IndirectCom)</f>
        <v>980.43667960562061</v>
      </c>
      <c r="AB69" s="196" cm="1">
        <f t="array" ref="AB69">CPI*W69*AB$29+CPI*W69*(IndirectCom)</f>
        <v>1416.1863149858966</v>
      </c>
      <c r="AC69" s="56" cm="1">
        <f t="array" ref="AC69">CPI*W69*AC$29+CPI*W69*(IndirectCom)</f>
        <v>1960.8733592112414</v>
      </c>
    </row>
    <row r="70" spans="3:29" x14ac:dyDescent="0.3">
      <c r="C70" s="50">
        <v>1.65</v>
      </c>
      <c r="D70" s="176"/>
      <c r="E70" s="176"/>
      <c r="F70" s="177">
        <f>SUM(Res1S[[#This Row],[Small]],Res1I[[#This Row],[Small]])</f>
        <v>112569.84485876496</v>
      </c>
      <c r="G70" s="177">
        <f>SUM(Res1S[[#This Row],[Medium]],Res1I[[#This Row],[Medium]])</f>
        <v>208739.68971752992</v>
      </c>
      <c r="H70" s="177">
        <f>SUM(Res1S[[#This Row],[Large]],Res1I[[#This Row],[Large]])</f>
        <v>272852.91962337325</v>
      </c>
      <c r="I70" s="177">
        <f>SUM(Res1S[[#This Row],[Recommended]],Res1I[[#This Row],[Recommended]])</f>
        <v>251481.84298809216</v>
      </c>
      <c r="M70" s="50">
        <v>1.65</v>
      </c>
      <c r="N70" s="176">
        <v>0.16622375000000003</v>
      </c>
      <c r="O70" s="176"/>
      <c r="P70" s="177">
        <f>SUM(Res2S[[#This Row],[Small]],Res2I[[#This Row],[Small]])</f>
        <v>64548.907279024366</v>
      </c>
      <c r="Q70" s="177">
        <f>SUM(Res2S[[#This Row],[Medium]],Res2I[[#This Row],[Medium]])</f>
        <v>112697.81455804873</v>
      </c>
      <c r="R70" s="177">
        <f>SUM(Res2S[[#This Row],[Large]],Res2I[[#This Row],[Large]])</f>
        <v>144797.08607739833</v>
      </c>
      <c r="S70" s="177">
        <f>SUM(Res2S[[#This Row],[Recommended]],Res2I[[#This Row],[Recommended]])</f>
        <v>134097.32890428181</v>
      </c>
      <c r="W70" s="291">
        <v>1093.2369696969697</v>
      </c>
      <c r="Y70" s="55">
        <v>1.65</v>
      </c>
      <c r="Z70" s="56" cm="1">
        <f t="array" ref="Z70">CPI*W70*Z$29+CPI*W70*(IndirectCom)</f>
        <v>771.1475123567011</v>
      </c>
      <c r="AA70" s="56" cm="1">
        <f t="array" ref="AA70">CPI*W70*AA$29+CPI*W70*(IndirectCom)</f>
        <v>991.47537303004424</v>
      </c>
      <c r="AB70" s="196" cm="1">
        <f t="array" ref="AB70">CPI*W70*AB$29+CPI*W70*(IndirectCom)</f>
        <v>1432.1310943767307</v>
      </c>
      <c r="AC70" s="56" cm="1">
        <f t="array" ref="AC70">CPI*W70*AC$29+CPI*W70*(IndirectCom)</f>
        <v>1982.9507460600887</v>
      </c>
    </row>
    <row r="71" spans="3:29" x14ac:dyDescent="0.3">
      <c r="C71" s="50">
        <v>1.7</v>
      </c>
      <c r="D71" s="176"/>
      <c r="E71" s="176"/>
      <c r="F71" s="177">
        <f>SUM(Res1S[[#This Row],[Small]],Res1I[[#This Row],[Small]])</f>
        <v>113147.44348207444</v>
      </c>
      <c r="G71" s="177">
        <f>SUM(Res1S[[#This Row],[Medium]],Res1I[[#This Row],[Medium]])</f>
        <v>209894.88696414887</v>
      </c>
      <c r="H71" s="177">
        <f>SUM(Res1S[[#This Row],[Large]],Res1I[[#This Row],[Large]])</f>
        <v>274393.18261886516</v>
      </c>
      <c r="I71" s="177">
        <f>SUM(Res1S[[#This Row],[Recommended]],Res1I[[#This Row],[Recommended]])</f>
        <v>252893.75073395972</v>
      </c>
      <c r="M71" s="50">
        <v>1.7</v>
      </c>
      <c r="N71" s="176">
        <v>0.16692958333333338</v>
      </c>
      <c r="O71" s="176"/>
      <c r="P71" s="177">
        <f>SUM(Res2S[[#This Row],[Small]],Res2I[[#This Row],[Small]])</f>
        <v>64769.508662971239</v>
      </c>
      <c r="Q71" s="177">
        <f>SUM(Res2S[[#This Row],[Medium]],Res2I[[#This Row],[Medium]])</f>
        <v>113139.01732594249</v>
      </c>
      <c r="R71" s="177">
        <f>SUM(Res2S[[#This Row],[Large]],Res2I[[#This Row],[Large]])</f>
        <v>145385.35643458995</v>
      </c>
      <c r="S71" s="177">
        <f>SUM(Res2S[[#This Row],[Recommended]],Res2I[[#This Row],[Recommended]])</f>
        <v>134636.57673170749</v>
      </c>
      <c r="W71" s="291">
        <v>1105.4086363636366</v>
      </c>
      <c r="Y71" s="55">
        <v>1.7</v>
      </c>
      <c r="Z71" s="56" cm="1">
        <f t="array" ref="Z71">CPI*W71*Z$29+CPI*W71*(IndirectCom)</f>
        <v>779.73316279791948</v>
      </c>
      <c r="AA71" s="56" cm="1">
        <f t="array" ref="AA71">CPI*W71*AA$29+CPI*W71*(IndirectCom)</f>
        <v>1002.5140664544679</v>
      </c>
      <c r="AB71" s="196" cm="1">
        <f t="array" ref="AB71">CPI*W71*AB$29+CPI*W71*(IndirectCom)</f>
        <v>1448.0758737675649</v>
      </c>
      <c r="AC71" s="56" cm="1">
        <f t="array" ref="AC71">CPI*W71*AC$29+CPI*W71*(IndirectCom)</f>
        <v>2005.028132908936</v>
      </c>
    </row>
    <row r="72" spans="3:29" x14ac:dyDescent="0.3">
      <c r="C72" s="50">
        <v>1.75</v>
      </c>
      <c r="D72" s="176"/>
      <c r="E72" s="176"/>
      <c r="F72" s="177">
        <f>SUM(Res1S[[#This Row],[Small]],Res1I[[#This Row],[Small]])</f>
        <v>113725.04210538388</v>
      </c>
      <c r="G72" s="177">
        <f>SUM(Res1S[[#This Row],[Medium]],Res1I[[#This Row],[Medium]])</f>
        <v>211050.08421076776</v>
      </c>
      <c r="H72" s="177">
        <f>SUM(Res1S[[#This Row],[Large]],Res1I[[#This Row],[Large]])</f>
        <v>275933.44561435701</v>
      </c>
      <c r="I72" s="177">
        <f>SUM(Res1S[[#This Row],[Recommended]],Res1I[[#This Row],[Recommended]])</f>
        <v>254305.65847982728</v>
      </c>
      <c r="M72" s="50">
        <v>1.75</v>
      </c>
      <c r="N72" s="176">
        <v>0.1676354166666667</v>
      </c>
      <c r="O72" s="176"/>
      <c r="P72" s="177">
        <f>SUM(Res2S[[#This Row],[Small]],Res2I[[#This Row],[Small]])</f>
        <v>64990.110046918104</v>
      </c>
      <c r="Q72" s="177">
        <f>SUM(Res2S[[#This Row],[Medium]],Res2I[[#This Row],[Medium]])</f>
        <v>113580.22009383621</v>
      </c>
      <c r="R72" s="177">
        <f>SUM(Res2S[[#This Row],[Large]],Res2I[[#This Row],[Large]])</f>
        <v>145973.62679178163</v>
      </c>
      <c r="S72" s="177">
        <f>SUM(Res2S[[#This Row],[Recommended]],Res2I[[#This Row],[Recommended]])</f>
        <v>135175.82455913315</v>
      </c>
      <c r="W72" s="291">
        <v>1117.5803030303032</v>
      </c>
      <c r="Y72" s="55">
        <v>1.75</v>
      </c>
      <c r="Z72" s="56" cm="1">
        <f t="array" ref="Z72">CPI*W72*Z$29+CPI*W72*(IndirectCom)</f>
        <v>788.31881323913785</v>
      </c>
      <c r="AA72" s="56" cm="1">
        <f t="array" ref="AA72">CPI*W72*AA$29+CPI*W72*(IndirectCom)</f>
        <v>1013.5527598788915</v>
      </c>
      <c r="AB72" s="196" cm="1">
        <f t="array" ref="AB72">CPI*W72*AB$29+CPI*W72*(IndirectCom)</f>
        <v>1464.020653158399</v>
      </c>
      <c r="AC72" s="56" cm="1">
        <f t="array" ref="AC72">CPI*W72*AC$29+CPI*W72*(IndirectCom)</f>
        <v>2027.1055197577832</v>
      </c>
    </row>
    <row r="73" spans="3:29" x14ac:dyDescent="0.3">
      <c r="C73" s="50">
        <v>1.8</v>
      </c>
      <c r="D73" s="176"/>
      <c r="E73" s="176"/>
      <c r="F73" s="177">
        <f>SUM(Res1S[[#This Row],[Small]],Res1I[[#This Row],[Small]])</f>
        <v>114068.43117416068</v>
      </c>
      <c r="G73" s="177">
        <f>SUM(Res1S[[#This Row],[Medium]],Res1I[[#This Row],[Medium]])</f>
        <v>211736.86234832136</v>
      </c>
      <c r="H73" s="177">
        <f>SUM(Res1S[[#This Row],[Large]],Res1I[[#This Row],[Large]])</f>
        <v>276849.14979776181</v>
      </c>
      <c r="I73" s="177">
        <f>SUM(Res1S[[#This Row],[Recommended]],Res1I[[#This Row],[Recommended]])</f>
        <v>255145.0539812817</v>
      </c>
      <c r="M73" s="50">
        <v>1.8</v>
      </c>
      <c r="N73" s="176">
        <v>0.16834125000000003</v>
      </c>
      <c r="O73" s="176"/>
      <c r="P73" s="177">
        <f>SUM(Res2S[[#This Row],[Small]],Res2I[[#This Row],[Small]])</f>
        <v>65210.711430864969</v>
      </c>
      <c r="Q73" s="177">
        <f>SUM(Res2S[[#This Row],[Medium]],Res2I[[#This Row],[Medium]])</f>
        <v>114021.42286172992</v>
      </c>
      <c r="R73" s="177">
        <f>SUM(Res2S[[#This Row],[Large]],Res2I[[#This Row],[Large]])</f>
        <v>146561.89714897325</v>
      </c>
      <c r="S73" s="177">
        <f>SUM(Res2S[[#This Row],[Recommended]],Res2I[[#This Row],[Recommended]])</f>
        <v>135715.07238655881</v>
      </c>
      <c r="W73" s="291">
        <v>1129.7519696969698</v>
      </c>
      <c r="Y73" s="55">
        <v>1.8</v>
      </c>
      <c r="Z73" s="56" cm="1">
        <f t="array" ref="Z73">CPI*W73*Z$29+CPI*W73*(IndirectCom)</f>
        <v>796.90446368035612</v>
      </c>
      <c r="AA73" s="56" cm="1">
        <f t="array" ref="AA73">CPI*W73*AA$29+CPI*W73*(IndirectCom)</f>
        <v>1024.5914533033151</v>
      </c>
      <c r="AB73" s="196" cm="1">
        <f t="array" ref="AB73">CPI*W73*AB$29+CPI*W73*(IndirectCom)</f>
        <v>1479.9654325492329</v>
      </c>
      <c r="AC73" s="56" cm="1">
        <f t="array" ref="AC73">CPI*W73*AC$29+CPI*W73*(IndirectCom)</f>
        <v>2049.1829066066298</v>
      </c>
    </row>
    <row r="74" spans="3:29" x14ac:dyDescent="0.3">
      <c r="C74" s="50">
        <v>1.85</v>
      </c>
      <c r="D74" s="176"/>
      <c r="E74" s="176"/>
      <c r="F74" s="177">
        <f>SUM(Res1S[[#This Row],[Small]],Res1I[[#This Row],[Small]])</f>
        <v>114411.82024293748</v>
      </c>
      <c r="G74" s="177">
        <f>SUM(Res1S[[#This Row],[Medium]],Res1I[[#This Row],[Medium]])</f>
        <v>212423.64048587496</v>
      </c>
      <c r="H74" s="177">
        <f>SUM(Res1S[[#This Row],[Large]],Res1I[[#This Row],[Large]])</f>
        <v>277764.85398116661</v>
      </c>
      <c r="I74" s="177">
        <f>SUM(Res1S[[#This Row],[Recommended]],Res1I[[#This Row],[Recommended]])</f>
        <v>255984.44948273606</v>
      </c>
      <c r="M74" s="50">
        <v>1.85</v>
      </c>
      <c r="N74" s="176">
        <v>0.16904708333333338</v>
      </c>
      <c r="O74" s="176"/>
      <c r="P74" s="177">
        <f>SUM(Res2S[[#This Row],[Small]],Res2I[[#This Row],[Small]])</f>
        <v>65431.312814811841</v>
      </c>
      <c r="Q74" s="177">
        <f>SUM(Res2S[[#This Row],[Medium]],Res2I[[#This Row],[Medium]])</f>
        <v>114462.62562962367</v>
      </c>
      <c r="R74" s="177">
        <f>SUM(Res2S[[#This Row],[Large]],Res2I[[#This Row],[Large]])</f>
        <v>147150.16750616487</v>
      </c>
      <c r="S74" s="177">
        <f>SUM(Res2S[[#This Row],[Recommended]],Res2I[[#This Row],[Recommended]])</f>
        <v>136254.32021398449</v>
      </c>
      <c r="W74" s="291">
        <v>1141.9236363636364</v>
      </c>
      <c r="Y74" s="55">
        <v>1.85</v>
      </c>
      <c r="Z74" s="56" cm="1">
        <f t="array" ref="Z74">CPI*W74*Z$29+CPI*W74*(IndirectCom)</f>
        <v>805.49011412157449</v>
      </c>
      <c r="AA74" s="56" cm="1">
        <f t="array" ref="AA74">CPI*W74*AA$29+CPI*W74*(IndirectCom)</f>
        <v>1035.6301467277385</v>
      </c>
      <c r="AB74" s="196" cm="1">
        <f t="array" ref="AB74">CPI*W74*AB$29+CPI*W74*(IndirectCom)</f>
        <v>1495.9102119400668</v>
      </c>
      <c r="AC74" s="56" cm="1">
        <f t="array" ref="AC74">CPI*W74*AC$29+CPI*W74*(IndirectCom)</f>
        <v>2071.2602934554775</v>
      </c>
    </row>
    <row r="75" spans="3:29" x14ac:dyDescent="0.3">
      <c r="C75" s="50">
        <v>1.9</v>
      </c>
      <c r="D75" s="176"/>
      <c r="E75" s="176"/>
      <c r="F75" s="177">
        <f>SUM(Res1S[[#This Row],[Small]],Res1I[[#This Row],[Small]])</f>
        <v>114755.20931171425</v>
      </c>
      <c r="G75" s="177">
        <f>SUM(Res1S[[#This Row],[Medium]],Res1I[[#This Row],[Medium]])</f>
        <v>213110.4186234285</v>
      </c>
      <c r="H75" s="177">
        <f>SUM(Res1S[[#This Row],[Large]],Res1I[[#This Row],[Large]])</f>
        <v>278680.55816457141</v>
      </c>
      <c r="I75" s="177">
        <f>SUM(Res1S[[#This Row],[Recommended]],Res1I[[#This Row],[Recommended]])</f>
        <v>256823.84498419042</v>
      </c>
      <c r="M75" s="50">
        <v>1.9</v>
      </c>
      <c r="N75" s="176">
        <v>0.1697529166666667</v>
      </c>
      <c r="O75" s="176"/>
      <c r="P75" s="177">
        <f>SUM(Res2S[[#This Row],[Small]],Res2I[[#This Row],[Small]])</f>
        <v>65651.914198758692</v>
      </c>
      <c r="Q75" s="177">
        <f>SUM(Res2S[[#This Row],[Medium]],Res2I[[#This Row],[Medium]])</f>
        <v>114903.8283975174</v>
      </c>
      <c r="R75" s="177">
        <f>SUM(Res2S[[#This Row],[Large]],Res2I[[#This Row],[Large]])</f>
        <v>147738.43786335655</v>
      </c>
      <c r="S75" s="177">
        <f>SUM(Res2S[[#This Row],[Recommended]],Res2I[[#This Row],[Recommended]])</f>
        <v>136793.56804141015</v>
      </c>
      <c r="W75" s="291">
        <v>1154.0953030303031</v>
      </c>
      <c r="Y75" s="55">
        <v>1.9</v>
      </c>
      <c r="Z75" s="56" cm="1">
        <f t="array" ref="Z75">CPI*W75*Z$29+CPI*W75*(IndirectCom)</f>
        <v>814.07576456279287</v>
      </c>
      <c r="AA75" s="56" cm="1">
        <f t="array" ref="AA75">CPI*W75*AA$29+CPI*W75*(IndirectCom)</f>
        <v>1046.6688401521624</v>
      </c>
      <c r="AB75" s="196" cm="1">
        <f t="array" ref="AB75">CPI*W75*AB$29+CPI*W75*(IndirectCom)</f>
        <v>1511.8549913309012</v>
      </c>
      <c r="AC75" s="56" cm="1">
        <f t="array" ref="AC75">CPI*W75*AC$29+CPI*W75*(IndirectCom)</f>
        <v>2093.3376803043243</v>
      </c>
    </row>
    <row r="76" spans="3:29" x14ac:dyDescent="0.3">
      <c r="C76" s="50">
        <v>1.95</v>
      </c>
      <c r="D76" s="176"/>
      <c r="E76" s="176"/>
      <c r="F76" s="177">
        <f>SUM(Res1S[[#This Row],[Small]],Res1I[[#This Row],[Small]])</f>
        <v>115098.59838049106</v>
      </c>
      <c r="G76" s="177">
        <f>SUM(Res1S[[#This Row],[Medium]],Res1I[[#This Row],[Medium]])</f>
        <v>213797.19676098213</v>
      </c>
      <c r="H76" s="177">
        <f>SUM(Res1S[[#This Row],[Large]],Res1I[[#This Row],[Large]])</f>
        <v>279596.26234797621</v>
      </c>
      <c r="I76" s="177">
        <f>SUM(Res1S[[#This Row],[Recommended]],Res1I[[#This Row],[Recommended]])</f>
        <v>257663.24048564484</v>
      </c>
      <c r="M76" s="50">
        <v>1.95</v>
      </c>
      <c r="N76" s="176">
        <v>0.17045875000000005</v>
      </c>
      <c r="O76" s="176"/>
      <c r="P76" s="177">
        <f>SUM(Res2S[[#This Row],[Small]],Res2I[[#This Row],[Small]])</f>
        <v>65872.515582705557</v>
      </c>
      <c r="Q76" s="177">
        <f>SUM(Res2S[[#This Row],[Medium]],Res2I[[#This Row],[Medium]])</f>
        <v>115345.03116541114</v>
      </c>
      <c r="R76" s="177">
        <f>SUM(Res2S[[#This Row],[Large]],Res2I[[#This Row],[Large]])</f>
        <v>148326.70822054817</v>
      </c>
      <c r="S76" s="177">
        <f>SUM(Res2S[[#This Row],[Recommended]],Res2I[[#This Row],[Recommended]])</f>
        <v>137332.81586883584</v>
      </c>
      <c r="W76" s="291">
        <v>1166.2669696969699</v>
      </c>
      <c r="Y76" s="55">
        <v>1.95</v>
      </c>
      <c r="Z76" s="56" cm="1">
        <f t="array" ref="Z76">CPI*W76*Z$29+CPI*W76*(IndirectCom)</f>
        <v>822.66141500401125</v>
      </c>
      <c r="AA76" s="56" cm="1">
        <f t="array" ref="AA76">CPI*W76*AA$29+CPI*W76*(IndirectCom)</f>
        <v>1057.7075335765858</v>
      </c>
      <c r="AB76" s="196" cm="1">
        <f t="array" ref="AB76">CPI*W76*AB$29+CPI*W76*(IndirectCom)</f>
        <v>1527.7997707217351</v>
      </c>
      <c r="AC76" s="56" cm="1">
        <f t="array" ref="AC76">CPI*W76*AC$29+CPI*W76*(IndirectCom)</f>
        <v>2115.415067153172</v>
      </c>
    </row>
    <row r="77" spans="3:29" x14ac:dyDescent="0.3">
      <c r="C77" s="50">
        <v>2</v>
      </c>
      <c r="D77" s="176"/>
      <c r="E77" s="176"/>
      <c r="F77" s="177">
        <f>SUM(Res1S[[#This Row],[Small]],Res1I[[#This Row],[Small]])</f>
        <v>115441.98744926786</v>
      </c>
      <c r="G77" s="177">
        <f>SUM(Res1S[[#This Row],[Medium]],Res1I[[#This Row],[Medium]])</f>
        <v>214483.97489853573</v>
      </c>
      <c r="H77" s="177">
        <f>SUM(Res1S[[#This Row],[Large]],Res1I[[#This Row],[Large]])</f>
        <v>280511.96653138095</v>
      </c>
      <c r="I77" s="177">
        <f>SUM(Res1S[[#This Row],[Recommended]],Res1I[[#This Row],[Recommended]])</f>
        <v>258502.6359870992</v>
      </c>
      <c r="M77" s="50">
        <v>2</v>
      </c>
      <c r="N77" s="176">
        <v>0.17116458333333337</v>
      </c>
      <c r="O77" s="176"/>
      <c r="P77" s="177">
        <f>SUM(Res2S[[#This Row],[Small]],Res2I[[#This Row],[Small]])</f>
        <v>66093.116966652437</v>
      </c>
      <c r="Q77" s="177">
        <f>SUM(Res2S[[#This Row],[Medium]],Res2I[[#This Row],[Medium]])</f>
        <v>115786.23393330487</v>
      </c>
      <c r="R77" s="177">
        <f>SUM(Res2S[[#This Row],[Large]],Res2I[[#This Row],[Large]])</f>
        <v>148914.97857773982</v>
      </c>
      <c r="S77" s="177">
        <f>SUM(Res2S[[#This Row],[Recommended]],Res2I[[#This Row],[Recommended]])</f>
        <v>137872.0636962615</v>
      </c>
      <c r="W77" s="291">
        <v>1178.4386363636365</v>
      </c>
      <c r="Y77" s="55">
        <v>2</v>
      </c>
      <c r="Z77" s="56" cm="1">
        <f t="array" ref="Z77">CPI*W77*Z$29+CPI*W77*(IndirectCom)</f>
        <v>831.24706544522962</v>
      </c>
      <c r="AA77" s="56" cm="1">
        <f t="array" ref="AA77">CPI*W77*AA$29+CPI*W77*(IndirectCom)</f>
        <v>1068.7462270010096</v>
      </c>
      <c r="AB77" s="196" cm="1">
        <f t="array" ref="AB77">CPI*W77*AB$29+CPI*W77*(IndirectCom)</f>
        <v>1543.7445501125694</v>
      </c>
      <c r="AC77" s="56" cm="1">
        <f t="array" ref="AC77">CPI*W77*AC$29+CPI*W77*(IndirectCom)</f>
        <v>2137.4924540020188</v>
      </c>
    </row>
    <row r="78" spans="3:29" x14ac:dyDescent="0.3">
      <c r="C78" s="50">
        <v>2.0499999999999998</v>
      </c>
      <c r="D78" s="176"/>
      <c r="E78" s="176"/>
      <c r="F78" s="177">
        <f>SUM(Res1S[[#This Row],[Small]],Res1I[[#This Row],[Small]])</f>
        <v>116790.10553396362</v>
      </c>
      <c r="G78" s="177">
        <f>SUM(Res1S[[#This Row],[Medium]],Res1I[[#This Row],[Medium]])</f>
        <v>217180.21106792724</v>
      </c>
      <c r="H78" s="177">
        <f>SUM(Res1S[[#This Row],[Large]],Res1I[[#This Row],[Large]])</f>
        <v>284106.94809056964</v>
      </c>
      <c r="I78" s="177">
        <f>SUM(Res1S[[#This Row],[Recommended]],Res1I[[#This Row],[Recommended]])</f>
        <v>261798.03574968886</v>
      </c>
      <c r="M78" s="50">
        <v>2.0499999999999998</v>
      </c>
      <c r="N78" s="176">
        <v>0.17484500000000003</v>
      </c>
      <c r="O78" s="176"/>
      <c r="P78" s="177">
        <f>SUM(Res2S[[#This Row],[Small]],Res2I[[#This Row],[Small]])</f>
        <v>66821.581442996336</v>
      </c>
      <c r="Q78" s="177">
        <f>SUM(Res2S[[#This Row],[Medium]],Res2I[[#This Row],[Medium]])</f>
        <v>117243.16288599267</v>
      </c>
      <c r="R78" s="177">
        <f>SUM(Res2S[[#This Row],[Large]],Res2I[[#This Row],[Large]])</f>
        <v>150857.55051465688</v>
      </c>
      <c r="S78" s="177">
        <f>SUM(Res2S[[#This Row],[Recommended]],Res2I[[#This Row],[Recommended]])</f>
        <v>139652.75463843549</v>
      </c>
      <c r="W78" s="291">
        <v>1181.213181818182</v>
      </c>
      <c r="Y78" s="55">
        <v>2.0499999999999998</v>
      </c>
      <c r="Z78" s="56" cm="1">
        <f t="array" ref="Z78">CPI*W78*Z$29+CPI*W78*(IndirectCom)</f>
        <v>833.20417436534444</v>
      </c>
      <c r="AA78" s="56" cm="1">
        <f t="array" ref="AA78">CPI*W78*AA$29+CPI*W78*(IndirectCom)</f>
        <v>1071.2625098982999</v>
      </c>
      <c r="AB78" s="196" cm="1">
        <f t="array" ref="AB78">CPI*W78*AB$29+CPI*W78*(IndirectCom)</f>
        <v>1547.3791809642112</v>
      </c>
      <c r="AC78" s="56" cm="1">
        <f t="array" ref="AC78">CPI*W78*AC$29+CPI*W78*(IndirectCom)</f>
        <v>2142.5250197965997</v>
      </c>
    </row>
    <row r="79" spans="3:29" x14ac:dyDescent="0.3">
      <c r="C79" s="50">
        <v>2.1</v>
      </c>
      <c r="D79" s="176"/>
      <c r="E79" s="176"/>
      <c r="F79" s="177">
        <f>SUM(Res1S[[#This Row],[Small]],Res1I[[#This Row],[Small]])</f>
        <v>118138.22361865938</v>
      </c>
      <c r="G79" s="177">
        <f>SUM(Res1S[[#This Row],[Medium]],Res1I[[#This Row],[Medium]])</f>
        <v>219876.44723731876</v>
      </c>
      <c r="H79" s="177">
        <f>SUM(Res1S[[#This Row],[Large]],Res1I[[#This Row],[Large]])</f>
        <v>287701.92964975839</v>
      </c>
      <c r="I79" s="177">
        <f>SUM(Res1S[[#This Row],[Recommended]],Res1I[[#This Row],[Recommended]])</f>
        <v>265093.43551227846</v>
      </c>
      <c r="M79" s="50">
        <v>2.1</v>
      </c>
      <c r="N79" s="176">
        <v>0.17852541666666671</v>
      </c>
      <c r="O79" s="176"/>
      <c r="P79" s="177">
        <f>SUM(Res2S[[#This Row],[Small]],Res2I[[#This Row],[Small]])</f>
        <v>67550.045919340249</v>
      </c>
      <c r="Q79" s="177">
        <f>SUM(Res2S[[#This Row],[Medium]],Res2I[[#This Row],[Medium]])</f>
        <v>118700.0918386805</v>
      </c>
      <c r="R79" s="177">
        <f>SUM(Res2S[[#This Row],[Large]],Res2I[[#This Row],[Large]])</f>
        <v>152800.12245157402</v>
      </c>
      <c r="S79" s="177">
        <f>SUM(Res2S[[#This Row],[Recommended]],Res2I[[#This Row],[Recommended]])</f>
        <v>141433.44558060949</v>
      </c>
      <c r="W79" s="291">
        <v>1183.9877272727274</v>
      </c>
      <c r="Y79" s="55">
        <v>2.1</v>
      </c>
      <c r="Z79" s="56" cm="1">
        <f t="array" ref="Z79">CPI*W79*Z$29+CPI*W79*(IndirectCom)</f>
        <v>835.16128328545938</v>
      </c>
      <c r="AA79" s="56" cm="1">
        <f t="array" ref="AA79">CPI*W79*AA$29+CPI*W79*(IndirectCom)</f>
        <v>1073.7787927955906</v>
      </c>
      <c r="AB79" s="196" cm="1">
        <f t="array" ref="AB79">CPI*W79*AB$29+CPI*W79*(IndirectCom)</f>
        <v>1551.0138118158529</v>
      </c>
      <c r="AC79" s="56" cm="1">
        <f t="array" ref="AC79">CPI*W79*AC$29+CPI*W79*(IndirectCom)</f>
        <v>2147.5575855911811</v>
      </c>
    </row>
    <row r="80" spans="3:29" x14ac:dyDescent="0.3">
      <c r="C80" s="50">
        <v>2.15</v>
      </c>
      <c r="D80" s="176"/>
      <c r="E80" s="176"/>
      <c r="F80" s="177">
        <f>SUM(Res1S[[#This Row],[Small]],Res1I[[#This Row],[Small]])</f>
        <v>119486.34170335511</v>
      </c>
      <c r="G80" s="177">
        <f>SUM(Res1S[[#This Row],[Medium]],Res1I[[#This Row],[Medium]])</f>
        <v>222572.68340671022</v>
      </c>
      <c r="H80" s="177">
        <f>SUM(Res1S[[#This Row],[Large]],Res1I[[#This Row],[Large]])</f>
        <v>291296.91120894701</v>
      </c>
      <c r="I80" s="177">
        <f>SUM(Res1S[[#This Row],[Recommended]],Res1I[[#This Row],[Recommended]])</f>
        <v>268388.83527486806</v>
      </c>
      <c r="M80" s="50">
        <v>2.15</v>
      </c>
      <c r="N80" s="176">
        <v>0.18220583333333337</v>
      </c>
      <c r="O80" s="176"/>
      <c r="P80" s="177">
        <f>SUM(Res2S[[#This Row],[Small]],Res2I[[#This Row],[Small]])</f>
        <v>68278.510395684163</v>
      </c>
      <c r="Q80" s="177">
        <f>SUM(Res2S[[#This Row],[Medium]],Res2I[[#This Row],[Medium]])</f>
        <v>120157.02079136833</v>
      </c>
      <c r="R80" s="177">
        <f>SUM(Res2S[[#This Row],[Large]],Res2I[[#This Row],[Large]])</f>
        <v>154742.6943884911</v>
      </c>
      <c r="S80" s="177">
        <f>SUM(Res2S[[#This Row],[Recommended]],Res2I[[#This Row],[Recommended]])</f>
        <v>143214.13652278349</v>
      </c>
      <c r="W80" s="291">
        <v>1186.7622727272728</v>
      </c>
      <c r="Y80" s="55">
        <v>2.15</v>
      </c>
      <c r="Z80" s="56" cm="1">
        <f t="array" ref="Z80">CPI*W80*Z$29+CPI*W80*(IndirectCom)</f>
        <v>837.1183922055742</v>
      </c>
      <c r="AA80" s="56" cm="1">
        <f t="array" ref="AA80">CPI*W80*AA$29+CPI*W80*(IndirectCom)</f>
        <v>1076.295075692881</v>
      </c>
      <c r="AB80" s="196" cm="1">
        <f t="array" ref="AB80">CPI*W80*AB$29+CPI*W80*(IndirectCom)</f>
        <v>1554.6484426674949</v>
      </c>
      <c r="AC80" s="56" cm="1">
        <f t="array" ref="AC80">CPI*W80*AC$29+CPI*W80*(IndirectCom)</f>
        <v>2152.5901513857621</v>
      </c>
    </row>
    <row r="81" spans="3:29" x14ac:dyDescent="0.3">
      <c r="C81" s="50">
        <v>2.2000000000000002</v>
      </c>
      <c r="D81" s="176"/>
      <c r="E81" s="176"/>
      <c r="F81" s="177">
        <f>SUM(Res1S[[#This Row],[Small]],Res1I[[#This Row],[Small]])</f>
        <v>120834.45978805088</v>
      </c>
      <c r="G81" s="177">
        <f>SUM(Res1S[[#This Row],[Medium]],Res1I[[#This Row],[Medium]])</f>
        <v>225268.91957610176</v>
      </c>
      <c r="H81" s="177">
        <f>SUM(Res1S[[#This Row],[Large]],Res1I[[#This Row],[Large]])</f>
        <v>294891.89276813564</v>
      </c>
      <c r="I81" s="177">
        <f>SUM(Res1S[[#This Row],[Recommended]],Res1I[[#This Row],[Recommended]])</f>
        <v>271684.23503745772</v>
      </c>
      <c r="M81" s="50">
        <v>2.2000000000000002</v>
      </c>
      <c r="N81" s="176">
        <v>0.18588625000000006</v>
      </c>
      <c r="O81" s="176"/>
      <c r="P81" s="177">
        <f>SUM(Res2S[[#This Row],[Small]],Res2I[[#This Row],[Small]])</f>
        <v>69006.974872028077</v>
      </c>
      <c r="Q81" s="177">
        <f>SUM(Res2S[[#This Row],[Medium]],Res2I[[#This Row],[Medium]])</f>
        <v>121613.94974405615</v>
      </c>
      <c r="R81" s="177">
        <f>SUM(Res2S[[#This Row],[Large]],Res2I[[#This Row],[Large]])</f>
        <v>156685.26632540819</v>
      </c>
      <c r="S81" s="177">
        <f>SUM(Res2S[[#This Row],[Recommended]],Res2I[[#This Row],[Recommended]])</f>
        <v>144994.82746495752</v>
      </c>
      <c r="W81" s="291">
        <v>1189.5368181818183</v>
      </c>
      <c r="Y81" s="55">
        <v>2.2000000000000002</v>
      </c>
      <c r="Z81" s="56" cm="1">
        <f t="array" ref="Z81">CPI*W81*Z$29+CPI*W81*(IndirectCom)</f>
        <v>839.07550112568913</v>
      </c>
      <c r="AA81" s="56" cm="1">
        <f t="array" ref="AA81">CPI*W81*AA$29+CPI*W81*(IndirectCom)</f>
        <v>1078.8113585901717</v>
      </c>
      <c r="AB81" s="196" cm="1">
        <f t="array" ref="AB81">CPI*W81*AB$29+CPI*W81*(IndirectCom)</f>
        <v>1558.2830735191369</v>
      </c>
      <c r="AC81" s="56" cm="1">
        <f t="array" ref="AC81">CPI*W81*AC$29+CPI*W81*(IndirectCom)</f>
        <v>2157.6227171803434</v>
      </c>
    </row>
    <row r="82" spans="3:29" x14ac:dyDescent="0.3">
      <c r="C82" s="50">
        <v>2.25</v>
      </c>
      <c r="D82" s="176"/>
      <c r="E82" s="176"/>
      <c r="F82" s="177">
        <f>SUM(Res1S[[#This Row],[Small]],Res1I[[#This Row],[Small]])</f>
        <v>122182.57787274662</v>
      </c>
      <c r="G82" s="177">
        <f>SUM(Res1S[[#This Row],[Medium]],Res1I[[#This Row],[Medium]])</f>
        <v>227965.15574549325</v>
      </c>
      <c r="H82" s="177">
        <f>SUM(Res1S[[#This Row],[Large]],Res1I[[#This Row],[Large]])</f>
        <v>298486.87432732439</v>
      </c>
      <c r="I82" s="177">
        <f>SUM(Res1S[[#This Row],[Recommended]],Res1I[[#This Row],[Recommended]])</f>
        <v>274979.63480004738</v>
      </c>
      <c r="M82" s="50">
        <v>2.25</v>
      </c>
      <c r="N82" s="176">
        <v>0.18956666666666672</v>
      </c>
      <c r="O82" s="176"/>
      <c r="P82" s="177">
        <f>SUM(Res2S[[#This Row],[Small]],Res2I[[#This Row],[Small]])</f>
        <v>69735.43934837199</v>
      </c>
      <c r="Q82" s="177">
        <f>SUM(Res2S[[#This Row],[Medium]],Res2I[[#This Row],[Medium]])</f>
        <v>123070.87869674397</v>
      </c>
      <c r="R82" s="177">
        <f>SUM(Res2S[[#This Row],[Large]],Res2I[[#This Row],[Large]])</f>
        <v>158627.83826232527</v>
      </c>
      <c r="S82" s="177">
        <f>SUM(Res2S[[#This Row],[Recommended]],Res2I[[#This Row],[Recommended]])</f>
        <v>146775.51840713152</v>
      </c>
      <c r="W82" s="291">
        <v>1192.3113636363637</v>
      </c>
      <c r="Y82" s="55">
        <v>2.25</v>
      </c>
      <c r="Z82" s="56" cm="1">
        <f t="array" ref="Z82">CPI*W82*Z$29+CPI*W82*(IndirectCom)</f>
        <v>841.03261004580395</v>
      </c>
      <c r="AA82" s="56" cm="1">
        <f t="array" ref="AA82">CPI*W82*AA$29+CPI*W82*(IndirectCom)</f>
        <v>1081.3276414874622</v>
      </c>
      <c r="AB82" s="196" cm="1">
        <f t="array" ref="AB82">CPI*W82*AB$29+CPI*W82*(IndirectCom)</f>
        <v>1561.9177043707789</v>
      </c>
      <c r="AC82" s="56" cm="1">
        <f t="array" ref="AC82">CPI*W82*AC$29+CPI*W82*(IndirectCom)</f>
        <v>2162.6552829749244</v>
      </c>
    </row>
    <row r="83" spans="3:29" x14ac:dyDescent="0.3">
      <c r="C83" s="50">
        <v>2.2999999999999998</v>
      </c>
      <c r="D83" s="176"/>
      <c r="E83" s="176"/>
      <c r="F83" s="177">
        <f>SUM(Res1S[[#This Row],[Small]],Res1I[[#This Row],[Small]])</f>
        <v>123530.69595744238</v>
      </c>
      <c r="G83" s="177">
        <f>SUM(Res1S[[#This Row],[Medium]],Res1I[[#This Row],[Medium]])</f>
        <v>230661.39191488476</v>
      </c>
      <c r="H83" s="177">
        <f>SUM(Res1S[[#This Row],[Large]],Res1I[[#This Row],[Large]])</f>
        <v>302081.85588651302</v>
      </c>
      <c r="I83" s="177">
        <f>SUM(Res1S[[#This Row],[Recommended]],Res1I[[#This Row],[Recommended]])</f>
        <v>278275.03456263698</v>
      </c>
      <c r="M83" s="50">
        <v>2.2999999999999998</v>
      </c>
      <c r="N83" s="176">
        <v>0.19324708333333335</v>
      </c>
      <c r="O83" s="176"/>
      <c r="P83" s="177">
        <f>SUM(Res2S[[#This Row],[Small]],Res2I[[#This Row],[Small]])</f>
        <v>70553.37955743265</v>
      </c>
      <c r="Q83" s="177">
        <f>SUM(Res2S[[#This Row],[Medium]],Res2I[[#This Row],[Medium]])</f>
        <v>124706.7591148653</v>
      </c>
      <c r="R83" s="177">
        <f>SUM(Res2S[[#This Row],[Large]],Res2I[[#This Row],[Large]])</f>
        <v>160809.01215315374</v>
      </c>
      <c r="S83" s="177">
        <f>SUM(Res2S[[#This Row],[Recommended]],Res2I[[#This Row],[Recommended]])</f>
        <v>148774.9278070576</v>
      </c>
      <c r="W83" s="291">
        <v>1195.0859090909091</v>
      </c>
      <c r="Y83" s="55">
        <v>2.2999999999999998</v>
      </c>
      <c r="Z83" s="56" cm="1">
        <f t="array" ref="Z83">CPI*W83*Z$29+CPI*W83*(IndirectCom)</f>
        <v>842.98971896591888</v>
      </c>
      <c r="AA83" s="56" cm="1">
        <f t="array" ref="AA83">CPI*W83*AA$29+CPI*W83*(IndirectCom)</f>
        <v>1083.8439243847529</v>
      </c>
      <c r="AB83" s="196" cm="1">
        <f t="array" ref="AB83">CPI*W83*AB$29+CPI*W83*(IndirectCom)</f>
        <v>1565.5523352224207</v>
      </c>
      <c r="AC83" s="56" cm="1">
        <f t="array" ref="AC83">CPI*W83*AC$29+CPI*W83*(IndirectCom)</f>
        <v>2167.6878487695058</v>
      </c>
    </row>
    <row r="84" spans="3:29" x14ac:dyDescent="0.3">
      <c r="C84" s="50">
        <v>2.35</v>
      </c>
      <c r="D84" s="176"/>
      <c r="E84" s="176"/>
      <c r="F84" s="177">
        <f>SUM(Res1S[[#This Row],[Small]],Res1I[[#This Row],[Small]])</f>
        <v>124878.81404213815</v>
      </c>
      <c r="G84" s="177">
        <f>SUM(Res1S[[#This Row],[Medium]],Res1I[[#This Row],[Medium]])</f>
        <v>233357.62808427631</v>
      </c>
      <c r="H84" s="177">
        <f>SUM(Res1S[[#This Row],[Large]],Res1I[[#This Row],[Large]])</f>
        <v>305676.83744570176</v>
      </c>
      <c r="I84" s="177">
        <f>SUM(Res1S[[#This Row],[Recommended]],Res1I[[#This Row],[Recommended]])</f>
        <v>281570.43432522658</v>
      </c>
      <c r="M84" s="50">
        <v>2.35</v>
      </c>
      <c r="N84" s="176">
        <v>0.19692750000000003</v>
      </c>
      <c r="O84" s="176"/>
      <c r="P84" s="177">
        <f>SUM(Res2S[[#This Row],[Small]],Res2I[[#This Row],[Small]])</f>
        <v>71371.319766493325</v>
      </c>
      <c r="Q84" s="177">
        <f>SUM(Res2S[[#This Row],[Medium]],Res2I[[#This Row],[Medium]])</f>
        <v>126342.63953298665</v>
      </c>
      <c r="R84" s="177">
        <f>SUM(Res2S[[#This Row],[Large]],Res2I[[#This Row],[Large]])</f>
        <v>162990.18604398222</v>
      </c>
      <c r="S84" s="177">
        <f>SUM(Res2S[[#This Row],[Recommended]],Res2I[[#This Row],[Recommended]])</f>
        <v>150774.33720698371</v>
      </c>
      <c r="W84" s="291">
        <v>1197.8604545454546</v>
      </c>
      <c r="Y84" s="55">
        <v>2.35</v>
      </c>
      <c r="Z84" s="56" cm="1">
        <f t="array" ref="Z84">CPI*W84*Z$29+CPI*W84*(IndirectCom)</f>
        <v>844.9468278860337</v>
      </c>
      <c r="AA84" s="56" cm="1">
        <f t="array" ref="AA84">CPI*W84*AA$29+CPI*W84*(IndirectCom)</f>
        <v>1086.3602072820431</v>
      </c>
      <c r="AB84" s="196" cm="1">
        <f t="array" ref="AB84">CPI*W84*AB$29+CPI*W84*(IndirectCom)</f>
        <v>1569.1869660740626</v>
      </c>
      <c r="AC84" s="56" cm="1">
        <f t="array" ref="AC84">CPI*W84*AC$29+CPI*W84*(IndirectCom)</f>
        <v>2172.7204145640867</v>
      </c>
    </row>
    <row r="85" spans="3:29" x14ac:dyDescent="0.3">
      <c r="C85" s="50">
        <v>2.4</v>
      </c>
      <c r="D85" s="176"/>
      <c r="E85" s="176"/>
      <c r="F85" s="177">
        <f>SUM(Res1S[[#This Row],[Small]],Res1I[[#This Row],[Small]])</f>
        <v>126226.93212683388</v>
      </c>
      <c r="G85" s="177">
        <f>SUM(Res1S[[#This Row],[Medium]],Res1I[[#This Row],[Medium]])</f>
        <v>236053.86425366777</v>
      </c>
      <c r="H85" s="177">
        <f>SUM(Res1S[[#This Row],[Large]],Res1I[[#This Row],[Large]])</f>
        <v>309271.81900489039</v>
      </c>
      <c r="I85" s="177">
        <f>SUM(Res1S[[#This Row],[Recommended]],Res1I[[#This Row],[Recommended]])</f>
        <v>284865.83408781618</v>
      </c>
      <c r="M85" s="50">
        <v>2.4</v>
      </c>
      <c r="N85" s="176">
        <v>0.20060791666666669</v>
      </c>
      <c r="O85" s="176"/>
      <c r="P85" s="177">
        <f>SUM(Res2S[[#This Row],[Small]],Res2I[[#This Row],[Small]])</f>
        <v>72189.259975554</v>
      </c>
      <c r="Q85" s="177">
        <f>SUM(Res2S[[#This Row],[Medium]],Res2I[[#This Row],[Medium]])</f>
        <v>127978.519951108</v>
      </c>
      <c r="R85" s="177">
        <f>SUM(Res2S[[#This Row],[Large]],Res2I[[#This Row],[Large]])</f>
        <v>165171.35993481067</v>
      </c>
      <c r="S85" s="177">
        <f>SUM(Res2S[[#This Row],[Recommended]],Res2I[[#This Row],[Recommended]])</f>
        <v>152773.74660690979</v>
      </c>
      <c r="W85" s="291">
        <v>1200.6350000000002</v>
      </c>
      <c r="Y85" s="55">
        <v>2.4</v>
      </c>
      <c r="Z85" s="56" cm="1">
        <f t="array" ref="Z85">CPI*W85*Z$29+CPI*W85*(IndirectCom)</f>
        <v>846.90393680614886</v>
      </c>
      <c r="AA85" s="56" cm="1">
        <f t="array" ref="AA85">CPI*W85*AA$29+CPI*W85*(IndirectCom)</f>
        <v>1088.8764901793343</v>
      </c>
      <c r="AB85" s="196" cm="1">
        <f t="array" ref="AB85">CPI*W85*AB$29+CPI*W85*(IndirectCom)</f>
        <v>1572.8215969257049</v>
      </c>
      <c r="AC85" s="56" cm="1">
        <f t="array" ref="AC85">CPI*W85*AC$29+CPI*W85*(IndirectCom)</f>
        <v>2177.7529803586685</v>
      </c>
    </row>
    <row r="86" spans="3:29" x14ac:dyDescent="0.3">
      <c r="C86" s="50">
        <v>2.4500000000000002</v>
      </c>
      <c r="D86" s="176"/>
      <c r="E86" s="176"/>
      <c r="F86" s="177">
        <f>SUM(Res1S[[#This Row],[Small]],Res1I[[#This Row],[Small]])</f>
        <v>127575.05021152964</v>
      </c>
      <c r="G86" s="177">
        <f>SUM(Res1S[[#This Row],[Medium]],Res1I[[#This Row],[Medium]])</f>
        <v>238750.10042305928</v>
      </c>
      <c r="H86" s="177">
        <f>SUM(Res1S[[#This Row],[Large]],Res1I[[#This Row],[Large]])</f>
        <v>312866.80056407908</v>
      </c>
      <c r="I86" s="177">
        <f>SUM(Res1S[[#This Row],[Recommended]],Res1I[[#This Row],[Recommended]])</f>
        <v>288161.23385040578</v>
      </c>
      <c r="M86" s="50">
        <v>2.4500000000000002</v>
      </c>
      <c r="N86" s="176">
        <v>0.20428833333333338</v>
      </c>
      <c r="O86" s="176"/>
      <c r="P86" s="177">
        <f>SUM(Res2S[[#This Row],[Small]],Res2I[[#This Row],[Small]])</f>
        <v>73007.200184614689</v>
      </c>
      <c r="Q86" s="177">
        <f>SUM(Res2S[[#This Row],[Medium]],Res2I[[#This Row],[Medium]])</f>
        <v>129614.40036922938</v>
      </c>
      <c r="R86" s="177">
        <f>SUM(Res2S[[#This Row],[Large]],Res2I[[#This Row],[Large]])</f>
        <v>167352.53382563917</v>
      </c>
      <c r="S86" s="177">
        <f>SUM(Res2S[[#This Row],[Recommended]],Res2I[[#This Row],[Recommended]])</f>
        <v>154773.1560068359</v>
      </c>
      <c r="W86" s="291">
        <v>1203.4095454545457</v>
      </c>
      <c r="Y86" s="55">
        <v>2.4500000000000002</v>
      </c>
      <c r="Z86" s="56" cm="1">
        <f t="array" ref="Z86">CPI*W86*Z$29+CPI*W86*(IndirectCom)</f>
        <v>848.86104572626368</v>
      </c>
      <c r="AA86" s="56" cm="1">
        <f t="array" ref="AA86">CPI*W86*AA$29+CPI*W86*(IndirectCom)</f>
        <v>1091.3927730766247</v>
      </c>
      <c r="AB86" s="196" cm="1">
        <f t="array" ref="AB86">CPI*W86*AB$29+CPI*W86*(IndirectCom)</f>
        <v>1576.4562277773468</v>
      </c>
      <c r="AC86" s="56" cm="1">
        <f t="array" ref="AC86">CPI*W86*AC$29+CPI*W86*(IndirectCom)</f>
        <v>2182.7855461532495</v>
      </c>
    </row>
    <row r="87" spans="3:29" x14ac:dyDescent="0.3">
      <c r="C87" s="50">
        <v>2.5</v>
      </c>
      <c r="D87" s="176"/>
      <c r="E87" s="176"/>
      <c r="F87" s="177">
        <f>SUM(Res1S[[#This Row],[Small]],Res1I[[#This Row],[Small]])</f>
        <v>128923.1682962254</v>
      </c>
      <c r="G87" s="177">
        <f>SUM(Res1S[[#This Row],[Medium]],Res1I[[#This Row],[Medium]])</f>
        <v>241446.3365924508</v>
      </c>
      <c r="H87" s="177">
        <f>SUM(Res1S[[#This Row],[Large]],Res1I[[#This Row],[Large]])</f>
        <v>316461.78212326771</v>
      </c>
      <c r="I87" s="177">
        <f>SUM(Res1S[[#This Row],[Recommended]],Res1I[[#This Row],[Recommended]])</f>
        <v>291456.63361299539</v>
      </c>
      <c r="M87" s="50">
        <v>2.5</v>
      </c>
      <c r="N87" s="176">
        <v>0.20796875000000004</v>
      </c>
      <c r="O87" s="176"/>
      <c r="P87" s="177">
        <f>SUM(Res2S[[#This Row],[Small]],Res2I[[#This Row],[Small]])</f>
        <v>73825.140393675363</v>
      </c>
      <c r="Q87" s="177">
        <f>SUM(Res2S[[#This Row],[Medium]],Res2I[[#This Row],[Medium]])</f>
        <v>131250.28078735073</v>
      </c>
      <c r="R87" s="177">
        <f>SUM(Res2S[[#This Row],[Large]],Res2I[[#This Row],[Large]])</f>
        <v>169533.70771646762</v>
      </c>
      <c r="S87" s="177">
        <f>SUM(Res2S[[#This Row],[Recommended]],Res2I[[#This Row],[Recommended]])</f>
        <v>156772.56540676198</v>
      </c>
      <c r="W87" s="291">
        <v>1206.1840909090911</v>
      </c>
      <c r="Y87" s="55">
        <v>2.5</v>
      </c>
      <c r="Z87" s="56" cm="1">
        <f t="array" ref="Z87">CPI*W87*Z$29+CPI*W87*(IndirectCom)</f>
        <v>850.8181546463785</v>
      </c>
      <c r="AA87" s="56" cm="1">
        <f t="array" ref="AA87">CPI*W87*AA$29+CPI*W87*(IndirectCom)</f>
        <v>1093.9090559739152</v>
      </c>
      <c r="AB87" s="196" cm="1">
        <f t="array" ref="AB87">CPI*W87*AB$29+CPI*W87*(IndirectCom)</f>
        <v>1580.0908586289886</v>
      </c>
      <c r="AC87" s="56" cm="1">
        <f t="array" ref="AC87">CPI*W87*AC$29+CPI*W87*(IndirectCom)</f>
        <v>2187.8181119478304</v>
      </c>
    </row>
    <row r="88" spans="3:29" x14ac:dyDescent="0.3">
      <c r="C88" s="50">
        <v>2.5499999999999998</v>
      </c>
      <c r="D88" s="176"/>
      <c r="E88" s="176"/>
      <c r="F88" s="177">
        <f>SUM(Res1S[[#This Row],[Small]],Res1I[[#This Row],[Small]])</f>
        <v>129749.08960592149</v>
      </c>
      <c r="G88" s="177">
        <f>SUM(Res1S[[#This Row],[Medium]],Res1I[[#This Row],[Medium]])</f>
        <v>243098.17921184297</v>
      </c>
      <c r="H88" s="177">
        <f>SUM(Res1S[[#This Row],[Large]],Res1I[[#This Row],[Large]])</f>
        <v>318664.238949124</v>
      </c>
      <c r="I88" s="177">
        <f>SUM(Res1S[[#This Row],[Recommended]],Res1I[[#This Row],[Recommended]])</f>
        <v>293475.55237003032</v>
      </c>
      <c r="M88" s="50">
        <v>2.5499999999999998</v>
      </c>
      <c r="N88" s="176">
        <v>0.21041395833333337</v>
      </c>
      <c r="O88" s="176"/>
      <c r="P88" s="177">
        <f>SUM(Res2S[[#This Row],[Small]],Res2I[[#This Row],[Small]])</f>
        <v>74682.037911233638</v>
      </c>
      <c r="Q88" s="177">
        <f>SUM(Res2S[[#This Row],[Medium]],Res2I[[#This Row],[Medium]])</f>
        <v>132964.07582246728</v>
      </c>
      <c r="R88" s="177">
        <f>SUM(Res2S[[#This Row],[Large]],Res2I[[#This Row],[Large]])</f>
        <v>171818.76776328974</v>
      </c>
      <c r="S88" s="177">
        <f>SUM(Res2S[[#This Row],[Recommended]],Res2I[[#This Row],[Recommended]])</f>
        <v>158867.20378301558</v>
      </c>
      <c r="W88" s="291">
        <v>1208.9586363636365</v>
      </c>
      <c r="Y88" s="55">
        <v>2.5499999999999998</v>
      </c>
      <c r="Z88" s="56" cm="1">
        <f t="array" ref="Z88">CPI*W88*Z$29+CPI*W88*(IndirectCom)</f>
        <v>852.77526356649332</v>
      </c>
      <c r="AA88" s="56" cm="1">
        <f t="array" ref="AA88">CPI*W88*AA$29+CPI*W88*(IndirectCom)</f>
        <v>1096.4253388712057</v>
      </c>
      <c r="AB88" s="196" cm="1">
        <f t="array" ref="AB88">CPI*W88*AB$29+CPI*W88*(IndirectCom)</f>
        <v>1583.7254894806306</v>
      </c>
      <c r="AC88" s="56" cm="1">
        <f t="array" ref="AC88">CPI*W88*AC$29+CPI*W88*(IndirectCom)</f>
        <v>2192.8506777424113</v>
      </c>
    </row>
    <row r="89" spans="3:29" x14ac:dyDescent="0.3">
      <c r="C89" s="50">
        <v>2.6</v>
      </c>
      <c r="D89" s="176"/>
      <c r="E89" s="176"/>
      <c r="F89" s="177">
        <f>SUM(Res1S[[#This Row],[Small]],Res1I[[#This Row],[Small]])</f>
        <v>130575.01091561757</v>
      </c>
      <c r="G89" s="177">
        <f>SUM(Res1S[[#This Row],[Medium]],Res1I[[#This Row],[Medium]])</f>
        <v>244750.02183123515</v>
      </c>
      <c r="H89" s="177">
        <f>SUM(Res1S[[#This Row],[Large]],Res1I[[#This Row],[Large]])</f>
        <v>320866.69577498024</v>
      </c>
      <c r="I89" s="177">
        <f>SUM(Res1S[[#This Row],[Recommended]],Res1I[[#This Row],[Recommended]])</f>
        <v>295494.47112706519</v>
      </c>
      <c r="M89" s="50">
        <v>2.6</v>
      </c>
      <c r="N89" s="176">
        <v>0.21285916666666671</v>
      </c>
      <c r="O89" s="176"/>
      <c r="P89" s="177">
        <f>SUM(Res2S[[#This Row],[Small]],Res2I[[#This Row],[Small]])</f>
        <v>75538.935428791941</v>
      </c>
      <c r="Q89" s="177">
        <f>SUM(Res2S[[#This Row],[Medium]],Res2I[[#This Row],[Medium]])</f>
        <v>134677.87085758388</v>
      </c>
      <c r="R89" s="177">
        <f>SUM(Res2S[[#This Row],[Large]],Res2I[[#This Row],[Large]])</f>
        <v>174103.8278101118</v>
      </c>
      <c r="S89" s="177">
        <f>SUM(Res2S[[#This Row],[Recommended]],Res2I[[#This Row],[Recommended]])</f>
        <v>160961.84215926917</v>
      </c>
      <c r="W89" s="291">
        <v>1211.7331818181819</v>
      </c>
      <c r="Y89" s="55">
        <v>2.6</v>
      </c>
      <c r="Z89" s="56" cm="1">
        <f t="array" ref="Z89">CPI*W89*Z$29+CPI*W89*(IndirectCom)</f>
        <v>854.73237248660837</v>
      </c>
      <c r="AA89" s="56" cm="1">
        <f t="array" ref="AA89">CPI*W89*AA$29+CPI*W89*(IndirectCom)</f>
        <v>1098.9416217684966</v>
      </c>
      <c r="AB89" s="196" cm="1">
        <f t="array" ref="AB89">CPI*W89*AB$29+CPI*W89*(IndirectCom)</f>
        <v>1587.3601203322728</v>
      </c>
      <c r="AC89" s="56" cm="1">
        <f t="array" ref="AC89">CPI*W89*AC$29+CPI*W89*(IndirectCom)</f>
        <v>2197.8832435369927</v>
      </c>
    </row>
    <row r="90" spans="3:29" x14ac:dyDescent="0.3">
      <c r="C90" s="50">
        <v>2.65</v>
      </c>
      <c r="D90" s="176"/>
      <c r="E90" s="176"/>
      <c r="F90" s="177">
        <f>SUM(Res1S[[#This Row],[Small]],Res1I[[#This Row],[Small]])</f>
        <v>131400.93222531368</v>
      </c>
      <c r="G90" s="177">
        <f>SUM(Res1S[[#This Row],[Medium]],Res1I[[#This Row],[Medium]])</f>
        <v>246401.86445062736</v>
      </c>
      <c r="H90" s="177">
        <f>SUM(Res1S[[#This Row],[Large]],Res1I[[#This Row],[Large]])</f>
        <v>323069.15260083647</v>
      </c>
      <c r="I90" s="177">
        <f>SUM(Res1S[[#This Row],[Recommended]],Res1I[[#This Row],[Recommended]])</f>
        <v>297513.38988410006</v>
      </c>
      <c r="M90" s="50">
        <v>2.65</v>
      </c>
      <c r="N90" s="176">
        <v>0.21530437500000005</v>
      </c>
      <c r="O90" s="176"/>
      <c r="P90" s="177">
        <f>SUM(Res2S[[#This Row],[Small]],Res2I[[#This Row],[Small]])</f>
        <v>76395.832946350216</v>
      </c>
      <c r="Q90" s="177">
        <f>SUM(Res2S[[#This Row],[Medium]],Res2I[[#This Row],[Medium]])</f>
        <v>136391.66589270043</v>
      </c>
      <c r="R90" s="177">
        <f>SUM(Res2S[[#This Row],[Large]],Res2I[[#This Row],[Large]])</f>
        <v>176388.88785693393</v>
      </c>
      <c r="S90" s="177">
        <f>SUM(Res2S[[#This Row],[Recommended]],Res2I[[#This Row],[Recommended]])</f>
        <v>163056.48053552277</v>
      </c>
      <c r="W90" s="291">
        <v>1214.5077272727274</v>
      </c>
      <c r="Y90" s="55">
        <v>2.65</v>
      </c>
      <c r="Z90" s="56" cm="1">
        <f t="array" ref="Z90">CPI*W90*Z$29+CPI*W90*(IndirectCom)</f>
        <v>856.68948140672319</v>
      </c>
      <c r="AA90" s="56" cm="1">
        <f t="array" ref="AA90">CPI*W90*AA$29+CPI*W90*(IndirectCom)</f>
        <v>1101.4579046657868</v>
      </c>
      <c r="AB90" s="196" cm="1">
        <f t="array" ref="AB90">CPI*W90*AB$29+CPI*W90*(IndirectCom)</f>
        <v>1590.9947511839146</v>
      </c>
      <c r="AC90" s="56" cm="1">
        <f t="array" ref="AC90">CPI*W90*AC$29+CPI*W90*(IndirectCom)</f>
        <v>2202.9158093315737</v>
      </c>
    </row>
    <row r="91" spans="3:29" x14ac:dyDescent="0.3">
      <c r="C91" s="50">
        <v>2.7</v>
      </c>
      <c r="D91" s="176"/>
      <c r="E91" s="176"/>
      <c r="F91" s="177">
        <f>SUM(Res1S[[#This Row],[Small]],Res1I[[#This Row],[Small]])</f>
        <v>132226.85353500978</v>
      </c>
      <c r="G91" s="177">
        <f>SUM(Res1S[[#This Row],[Medium]],Res1I[[#This Row],[Medium]])</f>
        <v>248053.70707001956</v>
      </c>
      <c r="H91" s="177">
        <f>SUM(Res1S[[#This Row],[Large]],Res1I[[#This Row],[Large]])</f>
        <v>325271.60942669277</v>
      </c>
      <c r="I91" s="177">
        <f>SUM(Res1S[[#This Row],[Recommended]],Res1I[[#This Row],[Recommended]])</f>
        <v>299532.30864113499</v>
      </c>
      <c r="M91" s="50">
        <v>2.7</v>
      </c>
      <c r="N91" s="176">
        <v>0.21774958333333339</v>
      </c>
      <c r="O91" s="176"/>
      <c r="P91" s="177">
        <f>SUM(Res2S[[#This Row],[Small]],Res2I[[#This Row],[Small]])</f>
        <v>77252.73046390852</v>
      </c>
      <c r="Q91" s="177">
        <f>SUM(Res2S[[#This Row],[Medium]],Res2I[[#This Row],[Medium]])</f>
        <v>138105.46092781704</v>
      </c>
      <c r="R91" s="177">
        <f>SUM(Res2S[[#This Row],[Large]],Res2I[[#This Row],[Large]])</f>
        <v>178673.94790375605</v>
      </c>
      <c r="S91" s="177">
        <f>SUM(Res2S[[#This Row],[Recommended]],Res2I[[#This Row],[Recommended]])</f>
        <v>165151.1189117764</v>
      </c>
      <c r="W91" s="291">
        <v>1217.2822727272728</v>
      </c>
      <c r="Y91" s="55">
        <v>2.7</v>
      </c>
      <c r="Z91" s="56" cm="1">
        <f t="array" ref="Z91">CPI*W91*Z$29+CPI*W91*(IndirectCom)</f>
        <v>858.64659032683812</v>
      </c>
      <c r="AA91" s="56" cm="1">
        <f t="array" ref="AA91">CPI*W91*AA$29+CPI*W91*(IndirectCom)</f>
        <v>1103.9741875630775</v>
      </c>
      <c r="AB91" s="196" cm="1">
        <f t="array" ref="AB91">CPI*W91*AB$29+CPI*W91*(IndirectCom)</f>
        <v>1594.6293820355563</v>
      </c>
      <c r="AC91" s="56" cm="1">
        <f t="array" ref="AC91">CPI*W91*AC$29+CPI*W91*(IndirectCom)</f>
        <v>2207.948375126155</v>
      </c>
    </row>
    <row r="92" spans="3:29" x14ac:dyDescent="0.3">
      <c r="C92" s="50">
        <v>2.75</v>
      </c>
      <c r="D92" s="176"/>
      <c r="E92" s="176"/>
      <c r="F92" s="177">
        <f>SUM(Res1S[[#This Row],[Small]],Res1I[[#This Row],[Small]])</f>
        <v>133052.77484470585</v>
      </c>
      <c r="G92" s="177">
        <f>SUM(Res1S[[#This Row],[Medium]],Res1I[[#This Row],[Medium]])</f>
        <v>249705.54968941171</v>
      </c>
      <c r="H92" s="177">
        <f>SUM(Res1S[[#This Row],[Large]],Res1I[[#This Row],[Large]])</f>
        <v>327474.06625254895</v>
      </c>
      <c r="I92" s="177">
        <f>SUM(Res1S[[#This Row],[Recommended]],Res1I[[#This Row],[Recommended]])</f>
        <v>301551.22739816987</v>
      </c>
      <c r="M92" s="50">
        <v>2.75</v>
      </c>
      <c r="N92" s="176">
        <v>0.24484548611111107</v>
      </c>
      <c r="O92" s="176"/>
      <c r="P92" s="177">
        <f>SUM(Res2S[[#This Row],[Small]],Res2I[[#This Row],[Small]])</f>
        <v>82689.092013063506</v>
      </c>
      <c r="Q92" s="177">
        <f>SUM(Res2S[[#This Row],[Medium]],Res2I[[#This Row],[Medium]])</f>
        <v>148978.18402612701</v>
      </c>
      <c r="R92" s="177">
        <f>SUM(Res2S[[#This Row],[Large]],Res2I[[#This Row],[Large]])</f>
        <v>193170.91203483604</v>
      </c>
      <c r="S92" s="177">
        <f>SUM(Res2S[[#This Row],[Recommended]],Res2I[[#This Row],[Recommended]])</f>
        <v>178440.00269859971</v>
      </c>
      <c r="W92" s="291">
        <v>1220.0568181818182</v>
      </c>
      <c r="Y92" s="55">
        <v>2.75</v>
      </c>
      <c r="Z92" s="56" cm="1">
        <f t="array" ref="Z92">CPI*W92*Z$29+CPI*W92*(IndirectCom)</f>
        <v>860.60369924695294</v>
      </c>
      <c r="AA92" s="56" cm="1">
        <f t="array" ref="AA92">CPI*W92*AA$29+CPI*W92*(IndirectCom)</f>
        <v>1106.490470460368</v>
      </c>
      <c r="AB92" s="196" cm="1">
        <f t="array" ref="AB92">CPI*W92*AB$29+CPI*W92*(IndirectCom)</f>
        <v>1598.2640128871983</v>
      </c>
      <c r="AC92" s="56" cm="1">
        <f t="array" ref="AC92">CPI*W92*AC$29+CPI*W92*(IndirectCom)</f>
        <v>2212.980940920736</v>
      </c>
    </row>
    <row r="93" spans="3:29" x14ac:dyDescent="0.3">
      <c r="C93" s="50">
        <v>2.8</v>
      </c>
      <c r="D93" s="176"/>
      <c r="E93" s="176"/>
      <c r="F93" s="177">
        <f>SUM(Res1S[[#This Row],[Small]],Res1I[[#This Row],[Small]])</f>
        <v>133878.69615440193</v>
      </c>
      <c r="G93" s="177">
        <f>SUM(Res1S[[#This Row],[Medium]],Res1I[[#This Row],[Medium]])</f>
        <v>251357.39230880389</v>
      </c>
      <c r="H93" s="177">
        <f>SUM(Res1S[[#This Row],[Large]],Res1I[[#This Row],[Large]])</f>
        <v>329676.52307840518</v>
      </c>
      <c r="I93" s="177">
        <f>SUM(Res1S[[#This Row],[Recommended]],Res1I[[#This Row],[Recommended]])</f>
        <v>303570.14615520474</v>
      </c>
      <c r="M93" s="50">
        <v>2.8</v>
      </c>
      <c r="N93" s="176">
        <v>0.27194138888888875</v>
      </c>
      <c r="O93" s="176"/>
      <c r="P93" s="177">
        <f>SUM(Res2S[[#This Row],[Small]],Res2I[[#This Row],[Small]])</f>
        <v>88393.880760368789</v>
      </c>
      <c r="Q93" s="177">
        <f>SUM(Res2S[[#This Row],[Medium]],Res2I[[#This Row],[Medium]])</f>
        <v>160387.76152073758</v>
      </c>
      <c r="R93" s="177">
        <f>SUM(Res2S[[#This Row],[Large]],Res2I[[#This Row],[Large]])</f>
        <v>208383.68202765009</v>
      </c>
      <c r="S93" s="177">
        <f>SUM(Res2S[[#This Row],[Recommended]],Res2I[[#This Row],[Recommended]])</f>
        <v>192385.04185867927</v>
      </c>
      <c r="W93" s="291">
        <v>1222.8313636363637</v>
      </c>
      <c r="Y93" s="55">
        <v>2.8</v>
      </c>
      <c r="Z93" s="56" cm="1">
        <f t="array" ref="Z93">CPI*W93*Z$29+CPI*W93*(IndirectCom)</f>
        <v>862.56080816706788</v>
      </c>
      <c r="AA93" s="56" cm="1">
        <f t="array" ref="AA93">CPI*W93*AA$29+CPI*W93*(IndirectCom)</f>
        <v>1109.0067533576587</v>
      </c>
      <c r="AB93" s="196" cm="1">
        <f t="array" ref="AB93">CPI*W93*AB$29+CPI*W93*(IndirectCom)</f>
        <v>1601.8986437388403</v>
      </c>
      <c r="AC93" s="56" cm="1">
        <f t="array" ref="AC93">CPI*W93*AC$29+CPI*W93*(IndirectCom)</f>
        <v>2218.0135067153174</v>
      </c>
    </row>
    <row r="94" spans="3:29" x14ac:dyDescent="0.3">
      <c r="C94" s="50">
        <v>2.85</v>
      </c>
      <c r="D94" s="176"/>
      <c r="E94" s="176"/>
      <c r="F94" s="177">
        <f>SUM(Res1S[[#This Row],[Small]],Res1I[[#This Row],[Small]])</f>
        <v>134704.61746409806</v>
      </c>
      <c r="G94" s="177">
        <f>SUM(Res1S[[#This Row],[Medium]],Res1I[[#This Row],[Medium]])</f>
        <v>253009.23492819612</v>
      </c>
      <c r="H94" s="177">
        <f>SUM(Res1S[[#This Row],[Large]],Res1I[[#This Row],[Large]])</f>
        <v>331878.97990426148</v>
      </c>
      <c r="I94" s="177">
        <f>SUM(Res1S[[#This Row],[Recommended]],Res1I[[#This Row],[Recommended]])</f>
        <v>305589.06491223967</v>
      </c>
      <c r="M94" s="50">
        <v>2.85</v>
      </c>
      <c r="N94" s="176">
        <v>0.2990372916666667</v>
      </c>
      <c r="O94" s="176"/>
      <c r="P94" s="177">
        <f>SUM(Res2S[[#This Row],[Small]],Res2I[[#This Row],[Small]])</f>
        <v>94098.669507674131</v>
      </c>
      <c r="Q94" s="177">
        <f>SUM(Res2S[[#This Row],[Medium]],Res2I[[#This Row],[Medium]])</f>
        <v>171797.33901534826</v>
      </c>
      <c r="R94" s="177">
        <f>SUM(Res2S[[#This Row],[Large]],Res2I[[#This Row],[Large]])</f>
        <v>223596.45202046435</v>
      </c>
      <c r="S94" s="177">
        <f>SUM(Res2S[[#This Row],[Recommended]],Res2I[[#This Row],[Recommended]])</f>
        <v>206330.08101875897</v>
      </c>
      <c r="W94" s="291">
        <v>1225.6059090909091</v>
      </c>
      <c r="Y94" s="55">
        <v>2.85</v>
      </c>
      <c r="Z94" s="56" cm="1">
        <f t="array" ref="Z94">CPI*W94*Z$29+CPI*W94*(IndirectCom)</f>
        <v>864.5179170871827</v>
      </c>
      <c r="AA94" s="56" cm="1">
        <f t="array" ref="AA94">CPI*W94*AA$29+CPI*W94*(IndirectCom)</f>
        <v>1111.5230362549491</v>
      </c>
      <c r="AB94" s="196" cm="1">
        <f t="array" ref="AB94">CPI*W94*AB$29+CPI*W94*(IndirectCom)</f>
        <v>1605.5332745904823</v>
      </c>
      <c r="AC94" s="56" cm="1">
        <f t="array" ref="AC94">CPI*W94*AC$29+CPI*W94*(IndirectCom)</f>
        <v>2223.0460725098983</v>
      </c>
    </row>
    <row r="95" spans="3:29" x14ac:dyDescent="0.3">
      <c r="C95" s="50">
        <v>2.9</v>
      </c>
      <c r="D95" s="176"/>
      <c r="E95" s="176"/>
      <c r="F95" s="177">
        <f>SUM(Res1S[[#This Row],[Small]],Res1I[[#This Row],[Small]])</f>
        <v>135530.53877379413</v>
      </c>
      <c r="G95" s="177">
        <f>SUM(Res1S[[#This Row],[Medium]],Res1I[[#This Row],[Medium]])</f>
        <v>254661.07754758827</v>
      </c>
      <c r="H95" s="177">
        <f>SUM(Res1S[[#This Row],[Large]],Res1I[[#This Row],[Large]])</f>
        <v>334081.43673011765</v>
      </c>
      <c r="I95" s="177">
        <f>SUM(Res1S[[#This Row],[Recommended]],Res1I[[#This Row],[Recommended]])</f>
        <v>307607.98366927454</v>
      </c>
      <c r="M95" s="50">
        <v>2.9</v>
      </c>
      <c r="N95" s="176">
        <v>0.32613319444444439</v>
      </c>
      <c r="O95" s="176"/>
      <c r="P95" s="177">
        <f>SUM(Res2S[[#This Row],[Small]],Res2I[[#This Row],[Small]])</f>
        <v>99803.458254979414</v>
      </c>
      <c r="Q95" s="177">
        <f>SUM(Res2S[[#This Row],[Medium]],Res2I[[#This Row],[Medium]])</f>
        <v>183206.91650995883</v>
      </c>
      <c r="R95" s="177">
        <f>SUM(Res2S[[#This Row],[Large]],Res2I[[#This Row],[Large]])</f>
        <v>238809.2220132784</v>
      </c>
      <c r="S95" s="177">
        <f>SUM(Res2S[[#This Row],[Recommended]],Res2I[[#This Row],[Recommended]])</f>
        <v>220275.12017883855</v>
      </c>
      <c r="W95" s="291">
        <v>1228.3804545454548</v>
      </c>
      <c r="Y95" s="55">
        <v>2.9</v>
      </c>
      <c r="Z95" s="56" cm="1">
        <f t="array" ref="Z95">CPI*W95*Z$29+CPI*W95*(IndirectCom)</f>
        <v>866.47502600729774</v>
      </c>
      <c r="AA95" s="56" cm="1">
        <f t="array" ref="AA95">CPI*W95*AA$29+CPI*W95*(IndirectCom)</f>
        <v>1114.0393191522398</v>
      </c>
      <c r="AB95" s="196" cm="1">
        <f t="array" ref="AB95">CPI*W95*AB$29+CPI*W95*(IndirectCom)</f>
        <v>1609.1679054421243</v>
      </c>
      <c r="AC95" s="56" cm="1">
        <f t="array" ref="AC95">CPI*W95*AC$29+CPI*W95*(IndirectCom)</f>
        <v>2228.0786383044801</v>
      </c>
    </row>
    <row r="96" spans="3:29" x14ac:dyDescent="0.3">
      <c r="C96" s="50">
        <v>2.95</v>
      </c>
      <c r="D96" s="176"/>
      <c r="E96" s="176"/>
      <c r="F96" s="177">
        <f>SUM(Res1S[[#This Row],[Small]],Res1I[[#This Row],[Small]])</f>
        <v>136356.46008349024</v>
      </c>
      <c r="G96" s="177">
        <f>SUM(Res1S[[#This Row],[Medium]],Res1I[[#This Row],[Medium]])</f>
        <v>256312.92016698045</v>
      </c>
      <c r="H96" s="177">
        <f>SUM(Res1S[[#This Row],[Large]],Res1I[[#This Row],[Large]])</f>
        <v>336283.89355597395</v>
      </c>
      <c r="I96" s="177">
        <f>SUM(Res1S[[#This Row],[Recommended]],Res1I[[#This Row],[Recommended]])</f>
        <v>309626.90242630948</v>
      </c>
      <c r="M96" s="50">
        <v>2.95</v>
      </c>
      <c r="N96" s="176">
        <v>0.35322909722222234</v>
      </c>
      <c r="O96" s="176"/>
      <c r="P96" s="177">
        <f>SUM(Res2S[[#This Row],[Small]],Res2I[[#This Row],[Small]])</f>
        <v>105508.24700228474</v>
      </c>
      <c r="Q96" s="177">
        <f>SUM(Res2S[[#This Row],[Medium]],Res2I[[#This Row],[Medium]])</f>
        <v>194616.49400456948</v>
      </c>
      <c r="R96" s="177">
        <f>SUM(Res2S[[#This Row],[Large]],Res2I[[#This Row],[Large]])</f>
        <v>254021.99200609265</v>
      </c>
      <c r="S96" s="177">
        <f>SUM(Res2S[[#This Row],[Recommended]],Res2I[[#This Row],[Recommended]])</f>
        <v>234220.15933891828</v>
      </c>
      <c r="W96" s="291">
        <v>1231.1550000000002</v>
      </c>
      <c r="Y96" s="55">
        <v>2.95</v>
      </c>
      <c r="Z96" s="56" cm="1">
        <f t="array" ref="Z96">CPI*W96*Z$29+CPI*W96*(IndirectCom)</f>
        <v>868.43213492741256</v>
      </c>
      <c r="AA96" s="56" cm="1">
        <f t="array" ref="AA96">CPI*W96*AA$29+CPI*W96*(IndirectCom)</f>
        <v>1116.5556020495303</v>
      </c>
      <c r="AB96" s="196" cm="1">
        <f t="array" ref="AB96">CPI*W96*AB$29+CPI*W96*(IndirectCom)</f>
        <v>1612.8025362937663</v>
      </c>
      <c r="AC96" s="56" cm="1">
        <f t="array" ref="AC96">CPI*W96*AC$29+CPI*W96*(IndirectCom)</f>
        <v>2233.1112040990611</v>
      </c>
    </row>
    <row r="97" spans="3:29" x14ac:dyDescent="0.3">
      <c r="C97" s="50">
        <v>3</v>
      </c>
      <c r="D97" s="176"/>
      <c r="E97" s="176"/>
      <c r="F97" s="177">
        <f>SUM(Res1S[[#This Row],[Small]],Res1I[[#This Row],[Small]])</f>
        <v>137182.38139318634</v>
      </c>
      <c r="G97" s="177">
        <f>SUM(Res1S[[#This Row],[Medium]],Res1I[[#This Row],[Medium]])</f>
        <v>257964.76278637265</v>
      </c>
      <c r="H97" s="177">
        <f>SUM(Res1S[[#This Row],[Large]],Res1I[[#This Row],[Large]])</f>
        <v>338486.35038183018</v>
      </c>
      <c r="I97" s="177">
        <f>SUM(Res1S[[#This Row],[Recommended]],Res1I[[#This Row],[Recommended]])</f>
        <v>311645.82118334435</v>
      </c>
      <c r="M97" s="50">
        <v>3</v>
      </c>
      <c r="N97" s="176">
        <v>0.38032500000000002</v>
      </c>
      <c r="O97" s="176"/>
      <c r="P97" s="177">
        <f>SUM(Res2S[[#This Row],[Small]],Res2I[[#This Row],[Small]])</f>
        <v>111213.03574959002</v>
      </c>
      <c r="Q97" s="177">
        <f>SUM(Res2S[[#This Row],[Medium]],Res2I[[#This Row],[Medium]])</f>
        <v>206026.07149918005</v>
      </c>
      <c r="R97" s="177">
        <f>SUM(Res2S[[#This Row],[Large]],Res2I[[#This Row],[Large]])</f>
        <v>269234.76199890673</v>
      </c>
      <c r="S97" s="177">
        <f>SUM(Res2S[[#This Row],[Recommended]],Res2I[[#This Row],[Recommended]])</f>
        <v>248165.19849899787</v>
      </c>
      <c r="W97" s="291">
        <v>1233.9295454545456</v>
      </c>
      <c r="Y97" s="55">
        <v>3</v>
      </c>
      <c r="Z97" s="56" cm="1">
        <f t="array" ref="Z97">CPI*W97*Z$29+CPI*W97*(IndirectCom)</f>
        <v>870.38924384752761</v>
      </c>
      <c r="AA97" s="56" cm="1">
        <f t="array" ref="AA97">CPI*W97*AA$29+CPI*W97*(IndirectCom)</f>
        <v>1119.0718849468212</v>
      </c>
      <c r="AB97" s="196" cm="1">
        <f t="array" ref="AB97">CPI*W97*AB$29+CPI*W97*(IndirectCom)</f>
        <v>1616.4371671454082</v>
      </c>
      <c r="AC97" s="56" cm="1">
        <f t="array" ref="AC97">CPI*W97*AC$29+CPI*W97*(IndirectCom)</f>
        <v>2238.1437698936425</v>
      </c>
    </row>
    <row r="98" spans="3:29" x14ac:dyDescent="0.3">
      <c r="M98" s="50">
        <v>3.05</v>
      </c>
      <c r="N98" s="176">
        <v>0.38432624999999998</v>
      </c>
      <c r="O98" s="176"/>
      <c r="P98" s="177">
        <f>SUM(Res2S[[#This Row],[Small]],Res2I[[#This Row],[Small]])</f>
        <v>113298.50091906796</v>
      </c>
      <c r="Q98" s="177">
        <f>SUM(Res2S[[#This Row],[Medium]],Res2I[[#This Row],[Medium]])</f>
        <v>210197.00183813591</v>
      </c>
      <c r="R98" s="177">
        <f>SUM(Res2S[[#This Row],[Large]],Res2I[[#This Row],[Large]])</f>
        <v>274796.00245084788</v>
      </c>
      <c r="S98" s="177">
        <f>SUM(Res2S[[#This Row],[Recommended]],Res2I[[#This Row],[Recommended]])</f>
        <v>253263.00224661059</v>
      </c>
      <c r="W98" s="291">
        <v>1236.7040909090911</v>
      </c>
      <c r="Y98" s="55">
        <v>3.05</v>
      </c>
      <c r="Z98" s="56" cm="1">
        <f t="array" ref="Z98">CPI*W98*Z$29+CPI*W98*(IndirectCom)</f>
        <v>872.34635276764243</v>
      </c>
      <c r="AA98" s="56" cm="1">
        <f t="array" ref="AA98">CPI*W98*AA$29+CPI*W98*(IndirectCom)</f>
        <v>1121.5881678441117</v>
      </c>
      <c r="AB98" s="196" cm="1">
        <f t="array" ref="AB98">CPI*W98*AB$29+CPI*W98*(IndirectCom)</f>
        <v>1620.0717979970502</v>
      </c>
      <c r="AC98" s="56" cm="1">
        <f t="array" ref="AC98">CPI*W98*AC$29+CPI*W98*(IndirectCom)</f>
        <v>2243.1763356882234</v>
      </c>
    </row>
    <row r="99" spans="3:29" x14ac:dyDescent="0.3">
      <c r="M99" s="50">
        <v>3.1</v>
      </c>
      <c r="N99" s="176">
        <v>0.38832749999999999</v>
      </c>
      <c r="O99" s="176"/>
      <c r="P99" s="177">
        <f>SUM(Res2S[[#This Row],[Small]],Res2I[[#This Row],[Small]])</f>
        <v>115383.96608854593</v>
      </c>
      <c r="Q99" s="177">
        <f>SUM(Res2S[[#This Row],[Medium]],Res2I[[#This Row],[Medium]])</f>
        <v>214367.93217709186</v>
      </c>
      <c r="R99" s="177">
        <f>SUM(Res2S[[#This Row],[Large]],Res2I[[#This Row],[Large]])</f>
        <v>280357.24290278915</v>
      </c>
      <c r="S99" s="177">
        <f>SUM(Res2S[[#This Row],[Recommended]],Res2I[[#This Row],[Recommended]])</f>
        <v>258360.80599422337</v>
      </c>
      <c r="W99" s="291">
        <v>1239.4786363636365</v>
      </c>
      <c r="Y99" s="55">
        <v>3.1</v>
      </c>
      <c r="Z99" s="56" cm="1">
        <f t="array" ref="Z99">CPI*W99*Z$29+CPI*W99*(IndirectCom)</f>
        <v>874.30346168775725</v>
      </c>
      <c r="AA99" s="56" cm="1">
        <f t="array" ref="AA99">CPI*W99*AA$29+CPI*W99*(IndirectCom)</f>
        <v>1124.1044507414022</v>
      </c>
      <c r="AB99" s="196" cm="1">
        <f t="array" ref="AB99">CPI*W99*AB$29+CPI*W99*(IndirectCom)</f>
        <v>1623.706428848692</v>
      </c>
      <c r="AC99" s="56" cm="1">
        <f t="array" ref="AC99">CPI*W99*AC$29+CPI*W99*(IndirectCom)</f>
        <v>2248.2089014828043</v>
      </c>
    </row>
    <row r="100" spans="3:29" x14ac:dyDescent="0.3">
      <c r="M100" s="50">
        <v>3.15</v>
      </c>
      <c r="N100" s="176">
        <v>0.39232875</v>
      </c>
      <c r="O100" s="176"/>
      <c r="P100" s="177">
        <f>SUM(Res2S[[#This Row],[Small]],Res2I[[#This Row],[Small]])</f>
        <v>117469.43125802388</v>
      </c>
      <c r="Q100" s="177">
        <f>SUM(Res2S[[#This Row],[Medium]],Res2I[[#This Row],[Medium]])</f>
        <v>218538.86251604775</v>
      </c>
      <c r="R100" s="177">
        <f>SUM(Res2S[[#This Row],[Large]],Res2I[[#This Row],[Large]])</f>
        <v>285918.48335473036</v>
      </c>
      <c r="S100" s="177">
        <f>SUM(Res2S[[#This Row],[Recommended]],Res2I[[#This Row],[Recommended]])</f>
        <v>263458.60974183615</v>
      </c>
      <c r="W100" s="291">
        <v>1242.2531818181819</v>
      </c>
      <c r="Y100" s="55">
        <v>3.15</v>
      </c>
      <c r="Z100" s="56" cm="1">
        <f t="array" ref="Z100">CPI*W100*Z$29+CPI*W100*(IndirectCom)</f>
        <v>876.26057060787207</v>
      </c>
      <c r="AA100" s="56" cm="1">
        <f t="array" ref="AA100">CPI*W100*AA$29+CPI*W100*(IndirectCom)</f>
        <v>1126.6207336386926</v>
      </c>
      <c r="AB100" s="196" cm="1">
        <f t="array" ref="AB100">CPI*W100*AB$29+CPI*W100*(IndirectCom)</f>
        <v>1627.341059700334</v>
      </c>
      <c r="AC100" s="56" cm="1">
        <f t="array" ref="AC100">CPI*W100*AC$29+CPI*W100*(IndirectCom)</f>
        <v>2253.2414672773853</v>
      </c>
    </row>
    <row r="101" spans="3:29" x14ac:dyDescent="0.3">
      <c r="M101" s="50">
        <v>3.2</v>
      </c>
      <c r="N101" s="176">
        <v>0.39633000000000002</v>
      </c>
      <c r="O101" s="176"/>
      <c r="P101" s="177">
        <f>SUM(Res2S[[#This Row],[Small]],Res2I[[#This Row],[Small]])</f>
        <v>119554.89642750184</v>
      </c>
      <c r="Q101" s="177">
        <f>SUM(Res2S[[#This Row],[Medium]],Res2I[[#This Row],[Medium]])</f>
        <v>222709.79285500367</v>
      </c>
      <c r="R101" s="177">
        <f>SUM(Res2S[[#This Row],[Large]],Res2I[[#This Row],[Large]])</f>
        <v>291479.72380667157</v>
      </c>
      <c r="S101" s="177">
        <f>SUM(Res2S[[#This Row],[Recommended]],Res2I[[#This Row],[Recommended]])</f>
        <v>268556.4134894489</v>
      </c>
      <c r="W101" s="291">
        <v>1245.0277272727274</v>
      </c>
      <c r="Y101" s="55">
        <v>3.2</v>
      </c>
      <c r="Z101" s="56" cm="1">
        <f t="array" ref="Z101">CPI*W101*Z$29+CPI*W101*(IndirectCom)</f>
        <v>878.21767952798712</v>
      </c>
      <c r="AA101" s="56" cm="1">
        <f t="array" ref="AA101">CPI*W101*AA$29+CPI*W101*(IndirectCom)</f>
        <v>1129.1370165359835</v>
      </c>
      <c r="AB101" s="196" cm="1">
        <f t="array" ref="AB101">CPI*W101*AB$29+CPI*W101*(IndirectCom)</f>
        <v>1630.9756905519762</v>
      </c>
      <c r="AC101" s="56" cm="1">
        <f t="array" ref="AC101">CPI*W101*AC$29+CPI*W101*(IndirectCom)</f>
        <v>2258.2740330719666</v>
      </c>
    </row>
    <row r="102" spans="3:29" x14ac:dyDescent="0.3">
      <c r="M102" s="50">
        <v>3.25</v>
      </c>
      <c r="N102" s="176">
        <v>0.40033124999999997</v>
      </c>
      <c r="O102" s="176"/>
      <c r="P102" s="177">
        <f>SUM(Res2S[[#This Row],[Small]],Res2I[[#This Row],[Small]])</f>
        <v>121640.36159697975</v>
      </c>
      <c r="Q102" s="177">
        <f>SUM(Res2S[[#This Row],[Medium]],Res2I[[#This Row],[Medium]])</f>
        <v>226880.72319395951</v>
      </c>
      <c r="R102" s="177">
        <f>SUM(Res2S[[#This Row],[Large]],Res2I[[#This Row],[Large]])</f>
        <v>297040.96425861272</v>
      </c>
      <c r="S102" s="177">
        <f>SUM(Res2S[[#This Row],[Recommended]],Res2I[[#This Row],[Recommended]])</f>
        <v>273654.21723706165</v>
      </c>
      <c r="W102" s="291">
        <v>1247.8022727272728</v>
      </c>
      <c r="Y102" s="55">
        <v>3.25</v>
      </c>
      <c r="Z102" s="56" cm="1">
        <f t="array" ref="Z102">CPI*W102*Z$29+CPI*W102*(IndirectCom)</f>
        <v>880.17478844810194</v>
      </c>
      <c r="AA102" s="56" cm="1">
        <f t="array" ref="AA102">CPI*W102*AA$29+CPI*W102*(IndirectCom)</f>
        <v>1131.6532994332738</v>
      </c>
      <c r="AB102" s="196" cm="1">
        <f t="array" ref="AB102">CPI*W102*AB$29+CPI*W102*(IndirectCom)</f>
        <v>1634.6103214036179</v>
      </c>
      <c r="AC102" s="56" cm="1">
        <f t="array" ref="AC102">CPI*W102*AC$29+CPI*W102*(IndirectCom)</f>
        <v>2263.3065988665476</v>
      </c>
    </row>
    <row r="103" spans="3:29" x14ac:dyDescent="0.3">
      <c r="M103" s="50">
        <v>3.3</v>
      </c>
      <c r="N103" s="176">
        <v>0.40433249999999998</v>
      </c>
      <c r="O103" s="176"/>
      <c r="P103" s="177">
        <f>SUM(Res2S[[#This Row],[Small]],Res2I[[#This Row],[Small]])</f>
        <v>123188.97237015713</v>
      </c>
      <c r="Q103" s="177">
        <f>SUM(Res2S[[#This Row],[Medium]],Res2I[[#This Row],[Medium]])</f>
        <v>229977.94474031427</v>
      </c>
      <c r="R103" s="177">
        <f>SUM(Res2S[[#This Row],[Large]],Res2I[[#This Row],[Large]])</f>
        <v>301170.59298708569</v>
      </c>
      <c r="S103" s="177">
        <f>SUM(Res2S[[#This Row],[Recommended]],Res2I[[#This Row],[Recommended]])</f>
        <v>277439.71023816185</v>
      </c>
      <c r="W103" s="291">
        <v>1250.5768181818182</v>
      </c>
      <c r="Y103" s="55">
        <v>3.3</v>
      </c>
      <c r="Z103" s="56" cm="1">
        <f t="array" ref="Z103">CPI*W103*Z$29+CPI*W103*(IndirectCom)</f>
        <v>882.13189736821687</v>
      </c>
      <c r="AA103" s="56" cm="1">
        <f t="array" ref="AA103">CPI*W103*AA$29+CPI*W103*(IndirectCom)</f>
        <v>1134.1695823305645</v>
      </c>
      <c r="AB103" s="196" cm="1">
        <f t="array" ref="AB103">CPI*W103*AB$29+CPI*W103*(IndirectCom)</f>
        <v>1638.2449522552597</v>
      </c>
      <c r="AC103" s="56" cm="1">
        <f t="array" ref="AC103">CPI*W103*AC$29+CPI*W103*(IndirectCom)</f>
        <v>2268.339164661129</v>
      </c>
    </row>
    <row r="104" spans="3:29" x14ac:dyDescent="0.3">
      <c r="M104" s="50">
        <v>3.35</v>
      </c>
      <c r="N104" s="176">
        <v>0.40833375</v>
      </c>
      <c r="O104" s="176"/>
      <c r="P104" s="177">
        <f>SUM(Res2S[[#This Row],[Small]],Res2I[[#This Row],[Small]])</f>
        <v>124737.5831433345</v>
      </c>
      <c r="Q104" s="177">
        <f>SUM(Res2S[[#This Row],[Medium]],Res2I[[#This Row],[Medium]])</f>
        <v>233075.166286669</v>
      </c>
      <c r="R104" s="177">
        <f>SUM(Res2S[[#This Row],[Large]],Res2I[[#This Row],[Large]])</f>
        <v>305300.22171555861</v>
      </c>
      <c r="S104" s="177">
        <f>SUM(Res2S[[#This Row],[Recommended]],Res2I[[#This Row],[Recommended]])</f>
        <v>281225.2032392621</v>
      </c>
      <c r="W104" s="291">
        <v>1253.3513636363637</v>
      </c>
      <c r="Y104" s="55">
        <v>3.35</v>
      </c>
      <c r="Z104" s="56" cm="1">
        <f t="array" ref="Z104">CPI*W104*Z$29+CPI*W104*(IndirectCom)</f>
        <v>884.08900628833169</v>
      </c>
      <c r="AA104" s="56" cm="1">
        <f t="array" ref="AA104">CPI*W104*AA$29+CPI*W104*(IndirectCom)</f>
        <v>1136.6858652278549</v>
      </c>
      <c r="AB104" s="196" cm="1">
        <f t="array" ref="AB104">CPI*W104*AB$29+CPI*W104*(IndirectCom)</f>
        <v>1641.8795831069017</v>
      </c>
      <c r="AC104" s="56" cm="1">
        <f t="array" ref="AC104">CPI*W104*AC$29+CPI*W104*(IndirectCom)</f>
        <v>2273.3717304557099</v>
      </c>
    </row>
    <row r="105" spans="3:29" x14ac:dyDescent="0.3">
      <c r="M105" s="50">
        <v>3.4</v>
      </c>
      <c r="N105" s="176">
        <v>0.41233499999999995</v>
      </c>
      <c r="O105" s="176"/>
      <c r="P105" s="177">
        <f>SUM(Res2S[[#This Row],[Small]],Res2I[[#This Row],[Small]])</f>
        <v>126286.19391651184</v>
      </c>
      <c r="Q105" s="177">
        <f>SUM(Res2S[[#This Row],[Medium]],Res2I[[#This Row],[Medium]])</f>
        <v>236172.38783302368</v>
      </c>
      <c r="R105" s="177">
        <f>SUM(Res2S[[#This Row],[Large]],Res2I[[#This Row],[Large]])</f>
        <v>309429.85044403159</v>
      </c>
      <c r="S105" s="177">
        <f>SUM(Res2S[[#This Row],[Recommended]],Res2I[[#This Row],[Recommended]])</f>
        <v>285010.6962403623</v>
      </c>
      <c r="W105" s="291">
        <v>1256.1259090909091</v>
      </c>
      <c r="Y105" s="55">
        <v>3.4</v>
      </c>
      <c r="Z105" s="56" cm="1">
        <f t="array" ref="Z105">CPI*W105*Z$29+CPI*W105*(IndirectCom)</f>
        <v>886.04611520844662</v>
      </c>
      <c r="AA105" s="56" cm="1">
        <f t="array" ref="AA105">CPI*W105*AA$29+CPI*W105*(IndirectCom)</f>
        <v>1139.2021481251456</v>
      </c>
      <c r="AB105" s="196" cm="1">
        <f t="array" ref="AB105">CPI*W105*AB$29+CPI*W105*(IndirectCom)</f>
        <v>1645.5142139585437</v>
      </c>
      <c r="AC105" s="56" cm="1">
        <f t="array" ref="AC105">CPI*W105*AC$29+CPI*W105*(IndirectCom)</f>
        <v>2278.4042962502913</v>
      </c>
    </row>
    <row r="106" spans="3:29" x14ac:dyDescent="0.3">
      <c r="M106" s="50">
        <v>3.45</v>
      </c>
      <c r="N106" s="176">
        <v>0.41633624999999996</v>
      </c>
      <c r="O106" s="176"/>
      <c r="P106" s="177">
        <f>SUM(Res2S[[#This Row],[Small]],Res2I[[#This Row],[Small]])</f>
        <v>127834.80468968922</v>
      </c>
      <c r="Q106" s="177">
        <f>SUM(Res2S[[#This Row],[Medium]],Res2I[[#This Row],[Medium]])</f>
        <v>239269.60937937844</v>
      </c>
      <c r="R106" s="177">
        <f>SUM(Res2S[[#This Row],[Large]],Res2I[[#This Row],[Large]])</f>
        <v>313559.47917250462</v>
      </c>
      <c r="S106" s="177">
        <f>SUM(Res2S[[#This Row],[Recommended]],Res2I[[#This Row],[Recommended]])</f>
        <v>288796.18924146256</v>
      </c>
      <c r="W106" s="291">
        <v>1258.9004545454545</v>
      </c>
      <c r="Y106" s="55">
        <v>3.45</v>
      </c>
      <c r="Z106" s="56" cm="1">
        <f t="array" ref="Z106">CPI*W106*Z$29+CPI*W106*(IndirectCom)</f>
        <v>888.00322412856144</v>
      </c>
      <c r="AA106" s="56" cm="1">
        <f t="array" ref="AA106">CPI*W106*AA$29+CPI*W106*(IndirectCom)</f>
        <v>1141.7184310224361</v>
      </c>
      <c r="AB106" s="196" cm="1">
        <f t="array" ref="AB106">CPI*W106*AB$29+CPI*W106*(IndirectCom)</f>
        <v>1649.1488448101857</v>
      </c>
      <c r="AC106" s="56" cm="1">
        <f t="array" ref="AC106">CPI*W106*AC$29+CPI*W106*(IndirectCom)</f>
        <v>2283.4368620448722</v>
      </c>
    </row>
    <row r="107" spans="3:29" x14ac:dyDescent="0.3">
      <c r="M107" s="50">
        <v>3.5</v>
      </c>
      <c r="N107" s="176">
        <v>0.42033749999999992</v>
      </c>
      <c r="O107" s="176"/>
      <c r="P107" s="177">
        <f>SUM(Res2S[[#This Row],[Small]],Res2I[[#This Row],[Small]])</f>
        <v>129383.41546286656</v>
      </c>
      <c r="Q107" s="177">
        <f>SUM(Res2S[[#This Row],[Medium]],Res2I[[#This Row],[Medium]])</f>
        <v>242366.83092573311</v>
      </c>
      <c r="R107" s="177">
        <f>SUM(Res2S[[#This Row],[Large]],Res2I[[#This Row],[Large]])</f>
        <v>317689.10790097748</v>
      </c>
      <c r="S107" s="177">
        <f>SUM(Res2S[[#This Row],[Recommended]],Res2I[[#This Row],[Recommended]])</f>
        <v>292581.6822425627</v>
      </c>
      <c r="W107" s="292">
        <v>1261.675</v>
      </c>
      <c r="Y107" s="57">
        <v>3.5</v>
      </c>
      <c r="Z107" s="56" cm="1">
        <f t="array" ref="Z107">CPI*W107*Z$29+CPI*W107*(IndirectCom)</f>
        <v>889.96033304867638</v>
      </c>
      <c r="AA107" s="56" cm="1">
        <f t="array" ref="AA107">CPI*W107*AA$29+CPI*W107*(IndirectCom)</f>
        <v>1144.2347139197268</v>
      </c>
      <c r="AB107" s="196" cm="1">
        <f t="array" ref="AB107">CPI*W107*AB$29+CPI*W107*(IndirectCom)</f>
        <v>1652.7834756618274</v>
      </c>
      <c r="AC107" s="56" cm="1">
        <f t="array" ref="AC107">CPI*W107*AC$29+CPI*W107*(IndirectCom)</f>
        <v>2288.4694278394536</v>
      </c>
    </row>
    <row r="108" spans="3:29" x14ac:dyDescent="0.3">
      <c r="M108" s="50">
        <v>3.55</v>
      </c>
      <c r="N108" s="176">
        <v>0.42433874999999993</v>
      </c>
      <c r="O108" s="176"/>
      <c r="P108" s="177">
        <f>SUM(Res2S[[#This Row],[Small]],Res2I[[#This Row],[Small]])</f>
        <v>130663.59903789364</v>
      </c>
      <c r="Q108" s="177">
        <f>SUM(Res2S[[#This Row],[Medium]],Res2I[[#This Row],[Medium]])</f>
        <v>244927.19807578728</v>
      </c>
      <c r="R108" s="177">
        <f>SUM(Res2S[[#This Row],[Large]],Res2I[[#This Row],[Large]])</f>
        <v>321102.93076771637</v>
      </c>
      <c r="S108" s="177">
        <f>SUM(Res2S[[#This Row],[Recommended]],Res2I[[#This Row],[Recommended]])</f>
        <v>295711.01987040666</v>
      </c>
      <c r="W108" s="291">
        <v>1264.4495454545454</v>
      </c>
      <c r="Y108" s="55">
        <v>3.55</v>
      </c>
      <c r="Z108" s="56" cm="1">
        <f t="array" ref="Z108">CPI*W108*Z$29+CPI*W108*(IndirectCom)</f>
        <v>891.91744196879119</v>
      </c>
      <c r="AA108" s="56" cm="1">
        <f t="array" ref="AA108">CPI*W108*AA$29+CPI*W108*(IndirectCom)</f>
        <v>1146.750996817017</v>
      </c>
      <c r="AB108" s="196" cm="1">
        <f t="array" ref="AB108">CPI*W108*AB$29+CPI*W108*(IndirectCom)</f>
        <v>1656.4181065134694</v>
      </c>
      <c r="AC108" s="56" cm="1">
        <f t="array" ref="AC108">CPI*W108*AC$29+CPI*W108*(IndirectCom)</f>
        <v>2293.5019936340345</v>
      </c>
    </row>
    <row r="109" spans="3:29" x14ac:dyDescent="0.3">
      <c r="M109" s="50">
        <v>3.6</v>
      </c>
      <c r="N109" s="176">
        <v>0.42833999999999994</v>
      </c>
      <c r="O109" s="176"/>
      <c r="P109" s="177">
        <f>SUM(Res2S[[#This Row],[Small]],Res2I[[#This Row],[Small]])</f>
        <v>131943.78261292071</v>
      </c>
      <c r="Q109" s="177">
        <f>SUM(Res2S[[#This Row],[Medium]],Res2I[[#This Row],[Medium]])</f>
        <v>247487.56522584142</v>
      </c>
      <c r="R109" s="177">
        <f>SUM(Res2S[[#This Row],[Large]],Res2I[[#This Row],[Large]])</f>
        <v>324516.75363445521</v>
      </c>
      <c r="S109" s="177">
        <f>SUM(Res2S[[#This Row],[Recommended]],Res2I[[#This Row],[Recommended]])</f>
        <v>298840.35749825061</v>
      </c>
      <c r="W109" s="292">
        <v>1267.2240909090908</v>
      </c>
      <c r="Y109" s="57">
        <v>3.6</v>
      </c>
      <c r="Z109" s="56" cm="1">
        <f t="array" ref="Z109">CPI*W109*Z$29+CPI*W109*(IndirectCom)</f>
        <v>893.87455088890624</v>
      </c>
      <c r="AA109" s="56" cm="1">
        <f t="array" ref="AA109">CPI*W109*AA$29+CPI*W109*(IndirectCom)</f>
        <v>1149.267279714308</v>
      </c>
      <c r="AB109" s="196" cm="1">
        <f t="array" ref="AB109">CPI*W109*AB$29+CPI*W109*(IndirectCom)</f>
        <v>1660.0527373651114</v>
      </c>
      <c r="AC109" s="56" cm="1">
        <f t="array" ref="AC109">CPI*W109*AC$29+CPI*W109*(IndirectCom)</f>
        <v>2298.5345594286159</v>
      </c>
    </row>
    <row r="110" spans="3:29" x14ac:dyDescent="0.3">
      <c r="M110" s="50">
        <v>3.65</v>
      </c>
      <c r="N110" s="176">
        <v>0.4323412499999999</v>
      </c>
      <c r="O110" s="176"/>
      <c r="P110" s="177">
        <f>SUM(Res2S[[#This Row],[Small]],Res2I[[#This Row],[Small]])</f>
        <v>133223.96618794778</v>
      </c>
      <c r="Q110" s="177">
        <f>SUM(Res2S[[#This Row],[Medium]],Res2I[[#This Row],[Medium]])</f>
        <v>250047.93237589556</v>
      </c>
      <c r="R110" s="177">
        <f>SUM(Res2S[[#This Row],[Large]],Res2I[[#This Row],[Large]])</f>
        <v>327930.57650119404</v>
      </c>
      <c r="S110" s="177">
        <f>SUM(Res2S[[#This Row],[Recommended]],Res2I[[#This Row],[Recommended]])</f>
        <v>301969.69512609456</v>
      </c>
      <c r="W110" s="291">
        <v>1269.9986363636365</v>
      </c>
      <c r="Y110" s="55">
        <v>3.65</v>
      </c>
      <c r="Z110" s="56" cm="1">
        <f t="array" ref="Z110">CPI*W110*Z$29+CPI*W110*(IndirectCom)</f>
        <v>895.83165980902118</v>
      </c>
      <c r="AA110" s="56" cm="1">
        <f t="array" ref="AA110">CPI*W110*AA$29+CPI*W110*(IndirectCom)</f>
        <v>1151.7835626115987</v>
      </c>
      <c r="AB110" s="196" cm="1">
        <f t="array" ref="AB110">CPI*W110*AB$29+CPI*W110*(IndirectCom)</f>
        <v>1663.6873682167536</v>
      </c>
      <c r="AC110" s="56" cm="1">
        <f t="array" ref="AC110">CPI*W110*AC$29+CPI*W110*(IndirectCom)</f>
        <v>2303.5671252231973</v>
      </c>
    </row>
    <row r="111" spans="3:29" x14ac:dyDescent="0.3">
      <c r="M111" s="50">
        <v>3.7</v>
      </c>
      <c r="N111" s="176">
        <v>0.43634249999999991</v>
      </c>
      <c r="O111" s="176"/>
      <c r="P111" s="177">
        <f>SUM(Res2S[[#This Row],[Small]],Res2I[[#This Row],[Small]])</f>
        <v>134504.14976297485</v>
      </c>
      <c r="Q111" s="177">
        <f>SUM(Res2S[[#This Row],[Medium]],Res2I[[#This Row],[Medium]])</f>
        <v>252608.2995259497</v>
      </c>
      <c r="R111" s="177">
        <f>SUM(Res2S[[#This Row],[Large]],Res2I[[#This Row],[Large]])</f>
        <v>331344.39936793293</v>
      </c>
      <c r="S111" s="177">
        <f>SUM(Res2S[[#This Row],[Recommended]],Res2I[[#This Row],[Recommended]])</f>
        <v>305099.03275393852</v>
      </c>
      <c r="W111" s="292">
        <v>1272.7731818181819</v>
      </c>
      <c r="Y111" s="57">
        <v>3.7</v>
      </c>
      <c r="Z111" s="56" cm="1">
        <f t="array" ref="Z111">CPI*W111*Z$29+CPI*W111*(IndirectCom)</f>
        <v>897.78876872913611</v>
      </c>
      <c r="AA111" s="56" cm="1">
        <f t="array" ref="AA111">CPI*W111*AA$29+CPI*W111*(IndirectCom)</f>
        <v>1154.2998455088891</v>
      </c>
      <c r="AB111" s="196" cm="1">
        <f t="array" ref="AB111">CPI*W111*AB$29+CPI*W111*(IndirectCom)</f>
        <v>1667.3219990683954</v>
      </c>
      <c r="AC111" s="56" cm="1">
        <f t="array" ref="AC111">CPI*W111*AC$29+CPI*W111*(IndirectCom)</f>
        <v>2308.5996910177782</v>
      </c>
    </row>
    <row r="112" spans="3:29" x14ac:dyDescent="0.3">
      <c r="M112" s="50">
        <v>3.75</v>
      </c>
      <c r="N112" s="176">
        <v>0.44034374999999992</v>
      </c>
      <c r="O112" s="176"/>
      <c r="P112" s="177">
        <f>SUM(Res2S[[#This Row],[Small]],Res2I[[#This Row],[Small]])</f>
        <v>135784.33333800192</v>
      </c>
      <c r="Q112" s="177">
        <f>SUM(Res2S[[#This Row],[Medium]],Res2I[[#This Row],[Medium]])</f>
        <v>255168.66667600384</v>
      </c>
      <c r="R112" s="177">
        <f>SUM(Res2S[[#This Row],[Large]],Res2I[[#This Row],[Large]])</f>
        <v>334758.22223467176</v>
      </c>
      <c r="S112" s="177">
        <f>SUM(Res2S[[#This Row],[Recommended]],Res2I[[#This Row],[Recommended]])</f>
        <v>308228.37038178241</v>
      </c>
      <c r="W112" s="291">
        <v>1275.5477272727273</v>
      </c>
      <c r="Y112" s="55">
        <v>3.75</v>
      </c>
      <c r="Z112" s="56" cm="1">
        <f t="array" ref="Z112">CPI*W112*Z$29+CPI*W112*(IndirectCom)</f>
        <v>899.74587764925082</v>
      </c>
      <c r="AA112" s="56" cm="1">
        <f t="array" ref="AA112">CPI*W112*AA$29+CPI*W112*(IndirectCom)</f>
        <v>1156.8161284061796</v>
      </c>
      <c r="AB112" s="196" cm="1">
        <f t="array" ref="AB112">CPI*W112*AB$29+CPI*W112*(IndirectCom)</f>
        <v>1670.9566299200374</v>
      </c>
      <c r="AC112" s="56" cm="1">
        <f t="array" ref="AC112">CPI*W112*AC$29+CPI*W112*(IndirectCom)</f>
        <v>2313.6322568123592</v>
      </c>
    </row>
    <row r="113" spans="13:29" x14ac:dyDescent="0.3">
      <c r="M113" s="50">
        <v>3.8</v>
      </c>
      <c r="N113" s="176">
        <v>0.44434499999999988</v>
      </c>
      <c r="O113" s="176"/>
      <c r="P113" s="177">
        <f>SUM(Res2S[[#This Row],[Small]],Res2I[[#This Row],[Small]])</f>
        <v>136885.56544759544</v>
      </c>
      <c r="Q113" s="177">
        <f>SUM(Res2S[[#This Row],[Medium]],Res2I[[#This Row],[Medium]])</f>
        <v>257371.13089519087</v>
      </c>
      <c r="R113" s="177">
        <f>SUM(Res2S[[#This Row],[Large]],Res2I[[#This Row],[Large]])</f>
        <v>337694.84119358787</v>
      </c>
      <c r="S113" s="177">
        <f>SUM(Res2S[[#This Row],[Recommended]],Res2I[[#This Row],[Recommended]])</f>
        <v>310920.2710941222</v>
      </c>
      <c r="W113" s="292">
        <v>1278.3221617498937</v>
      </c>
      <c r="Y113" s="57">
        <v>3.8</v>
      </c>
      <c r="Z113" s="56" cm="1">
        <f t="array" ref="Z113">CPI*W113*Z$29+CPI*W113*(IndirectCom)</f>
        <v>901.70290828814018</v>
      </c>
      <c r="AA113" s="56" cm="1">
        <f t="array" ref="AA113">CPI*W113*AA$29+CPI*W113*(IndirectCom)</f>
        <v>1159.3323106561802</v>
      </c>
      <c r="AB113" s="196" cm="1">
        <f t="array" ref="AB113">CPI*W113*AB$29+CPI*W113*(IndirectCom)</f>
        <v>1674.5911153922605</v>
      </c>
      <c r="AC113" s="56" cm="1">
        <f t="array" ref="AC113">CPI*W113*AC$29+CPI*W113*(IndirectCom)</f>
        <v>2318.6646213123604</v>
      </c>
    </row>
    <row r="114" spans="13:29" x14ac:dyDescent="0.3">
      <c r="M114" s="50">
        <v>3.85</v>
      </c>
      <c r="N114" s="176">
        <v>0.44834624999999989</v>
      </c>
      <c r="O114" s="176"/>
      <c r="P114" s="177">
        <f>SUM(Res2S[[#This Row],[Small]],Res2I[[#This Row],[Small]])</f>
        <v>137986.79755718898</v>
      </c>
      <c r="Q114" s="177">
        <f>SUM(Res2S[[#This Row],[Medium]],Res2I[[#This Row],[Medium]])</f>
        <v>259573.59511437797</v>
      </c>
      <c r="R114" s="177">
        <f>SUM(Res2S[[#This Row],[Large]],Res2I[[#This Row],[Large]])</f>
        <v>340631.46015250392</v>
      </c>
      <c r="S114" s="177">
        <f>SUM(Res2S[[#This Row],[Recommended]],Res2I[[#This Row],[Recommended]])</f>
        <v>313612.17180646199</v>
      </c>
      <c r="W114" s="291">
        <v>1281.09659622706</v>
      </c>
      <c r="Y114" s="55">
        <v>3.85</v>
      </c>
      <c r="Z114" s="56" cm="1">
        <f t="array" ref="Z114">CPI*W114*Z$29+CPI*W114*(IndirectCom)</f>
        <v>903.65993892702954</v>
      </c>
      <c r="AA114" s="56" cm="1">
        <f t="array" ref="AA114">CPI*W114*AA$29+CPI*W114*(IndirectCom)</f>
        <v>1161.8484929061808</v>
      </c>
      <c r="AB114" s="196" cm="1">
        <f t="array" ref="AB114">CPI*W114*AB$29+CPI*W114*(IndirectCom)</f>
        <v>1678.2256008644836</v>
      </c>
      <c r="AC114" s="56" cm="1">
        <f t="array" ref="AC114">CPI*W114*AC$29+CPI*W114*(IndirectCom)</f>
        <v>2323.6969858123616</v>
      </c>
    </row>
    <row r="115" spans="13:29" x14ac:dyDescent="0.3">
      <c r="M115" s="50">
        <v>3.9</v>
      </c>
      <c r="N115" s="176">
        <v>0.4523474999999999</v>
      </c>
      <c r="O115" s="176"/>
      <c r="P115" s="177">
        <f>SUM(Res2S[[#This Row],[Small]],Res2I[[#This Row],[Small]])</f>
        <v>139088.02966678253</v>
      </c>
      <c r="Q115" s="177">
        <f>SUM(Res2S[[#This Row],[Medium]],Res2I[[#This Row],[Medium]])</f>
        <v>261776.05933356506</v>
      </c>
      <c r="R115" s="177">
        <f>SUM(Res2S[[#This Row],[Large]],Res2I[[#This Row],[Large]])</f>
        <v>343568.07911142008</v>
      </c>
      <c r="S115" s="177">
        <f>SUM(Res2S[[#This Row],[Recommended]],Res2I[[#This Row],[Recommended]])</f>
        <v>316304.07251880172</v>
      </c>
      <c r="W115" s="292">
        <v>1283.8710307042263</v>
      </c>
      <c r="Y115" s="57">
        <v>3.9</v>
      </c>
      <c r="Z115" s="56" cm="1">
        <f t="array" ref="Z115">CPI*W115*Z$29+CPI*W115*(IndirectCom)</f>
        <v>905.61696956591879</v>
      </c>
      <c r="AA115" s="56" cm="1">
        <f t="array" ref="AA115">CPI*W115*AA$29+CPI*W115*(IndirectCom)</f>
        <v>1164.3646751561814</v>
      </c>
      <c r="AB115" s="196" cm="1">
        <f t="array" ref="AB115">CPI*W115*AB$29+CPI*W115*(IndirectCom)</f>
        <v>1681.8600863367064</v>
      </c>
      <c r="AC115" s="56" cm="1">
        <f t="array" ref="AC115">CPI*W115*AC$29+CPI*W115*(IndirectCom)</f>
        <v>2328.7293503123624</v>
      </c>
    </row>
    <row r="116" spans="13:29" x14ac:dyDescent="0.3">
      <c r="M116" s="50">
        <v>3.95</v>
      </c>
      <c r="N116" s="176">
        <v>0.45634874999999986</v>
      </c>
      <c r="O116" s="176"/>
      <c r="P116" s="177">
        <f>SUM(Res2S[[#This Row],[Small]],Res2I[[#This Row],[Small]])</f>
        <v>140189.26177637605</v>
      </c>
      <c r="Q116" s="177">
        <f>SUM(Res2S[[#This Row],[Medium]],Res2I[[#This Row],[Medium]])</f>
        <v>263978.5235527521</v>
      </c>
      <c r="R116" s="177">
        <f>SUM(Res2S[[#This Row],[Large]],Res2I[[#This Row],[Large]])</f>
        <v>346504.69807033613</v>
      </c>
      <c r="S116" s="177">
        <f>SUM(Res2S[[#This Row],[Recommended]],Res2I[[#This Row],[Recommended]])</f>
        <v>318995.97323114146</v>
      </c>
      <c r="W116" s="291">
        <v>1286.6454651813929</v>
      </c>
      <c r="Y116" s="55">
        <v>3.95</v>
      </c>
      <c r="Z116" s="56" cm="1">
        <f t="array" ref="Z116">CPI*W116*Z$29+CPI*W116*(IndirectCom)</f>
        <v>907.57400020480827</v>
      </c>
      <c r="AA116" s="56" cm="1">
        <f t="array" ref="AA116">CPI*W116*AA$29+CPI*W116*(IndirectCom)</f>
        <v>1166.880857406182</v>
      </c>
      <c r="AB116" s="196" cm="1">
        <f t="array" ref="AB116">CPI*W116*AB$29+CPI*W116*(IndirectCom)</f>
        <v>1685.4945718089298</v>
      </c>
      <c r="AC116" s="56" cm="1">
        <f t="array" ref="AC116">CPI*W116*AC$29+CPI*W116*(IndirectCom)</f>
        <v>2333.7617148123641</v>
      </c>
    </row>
    <row r="117" spans="13:29" ht="15" thickBot="1" x14ac:dyDescent="0.35">
      <c r="M117" s="50">
        <v>4</v>
      </c>
      <c r="N117" s="176">
        <v>0.46034999999999987</v>
      </c>
      <c r="O117" s="176"/>
      <c r="P117" s="177">
        <f>SUM(Res2S[[#This Row],[Small]],Res2I[[#This Row],[Small]])</f>
        <v>141290.4938859696</v>
      </c>
      <c r="Q117" s="177">
        <f>SUM(Res2S[[#This Row],[Medium]],Res2I[[#This Row],[Medium]])</f>
        <v>266180.9877719392</v>
      </c>
      <c r="R117" s="177">
        <f>SUM(Res2S[[#This Row],[Large]],Res2I[[#This Row],[Large]])</f>
        <v>349441.3170292523</v>
      </c>
      <c r="S117" s="177">
        <f>SUM(Res2S[[#This Row],[Recommended]],Res2I[[#This Row],[Recommended]])</f>
        <v>321687.87394348125</v>
      </c>
      <c r="W117" s="293">
        <v>1289.4198996585592</v>
      </c>
      <c r="Y117" s="57">
        <v>4</v>
      </c>
      <c r="Z117" s="56" cm="1">
        <f t="array" ref="Z117">CPI*W117*Z$29+CPI*W117*(IndirectCom)</f>
        <v>909.53103084369764</v>
      </c>
      <c r="AA117" s="56" cm="1">
        <f t="array" ref="AA117">CPI*W117*AA$29+CPI*W117*(IndirectCom)</f>
        <v>1169.3970396561826</v>
      </c>
      <c r="AB117" s="196" cm="1">
        <f t="array" ref="AB117">CPI*W117*AB$29+CPI*W117*(IndirectCom)</f>
        <v>1689.1290572811529</v>
      </c>
      <c r="AC117" s="56" cm="1">
        <f t="array" ref="AC117">CPI*W117*AC$29+CPI*W117*(IndirectCom)</f>
        <v>2338.7940793123653</v>
      </c>
    </row>
    <row r="118" spans="13:29" x14ac:dyDescent="0.3">
      <c r="M118" s="50">
        <v>4.05</v>
      </c>
      <c r="N118" s="176">
        <v>0.46034999999999987</v>
      </c>
      <c r="O118" s="176"/>
      <c r="P118" s="177">
        <f>SUM(Res2S[[#This Row],[Small]],Res2I[[#This Row],[Small]])</f>
        <v>141424.70748504472</v>
      </c>
      <c r="Q118" s="177">
        <f>SUM(Res2S[[#This Row],[Medium]],Res2I[[#This Row],[Medium]])</f>
        <v>266449.41497008945</v>
      </c>
      <c r="R118" s="177">
        <f>SUM(Res2S[[#This Row],[Large]],Res2I[[#This Row],[Large]])</f>
        <v>349799.21996011934</v>
      </c>
      <c r="S118" s="177">
        <f>SUM(Res2S[[#This Row],[Recommended]],Res2I[[#This Row],[Recommended]])</f>
        <v>322015.95163010934</v>
      </c>
      <c r="Y118"/>
      <c r="Z118"/>
      <c r="AA118"/>
      <c r="AB118"/>
      <c r="AC118"/>
    </row>
    <row r="119" spans="13:29" x14ac:dyDescent="0.3">
      <c r="M119" s="50">
        <v>4.0999999999999996</v>
      </c>
      <c r="N119" s="176">
        <v>0.46034999999999987</v>
      </c>
      <c r="O119" s="176"/>
      <c r="P119" s="177">
        <f>SUM(Res2S[[#This Row],[Small]],Res2I[[#This Row],[Small]])</f>
        <v>141558.92108411988</v>
      </c>
      <c r="Q119" s="177">
        <f>SUM(Res2S[[#This Row],[Medium]],Res2I[[#This Row],[Medium]])</f>
        <v>266717.84216823976</v>
      </c>
      <c r="R119" s="177">
        <f>SUM(Res2S[[#This Row],[Large]],Res2I[[#This Row],[Large]])</f>
        <v>350157.12289098639</v>
      </c>
      <c r="S119" s="177">
        <f>SUM(Res2S[[#This Row],[Recommended]],Res2I[[#This Row],[Recommended]])</f>
        <v>322344.02931673749</v>
      </c>
      <c r="Y119"/>
      <c r="Z119"/>
      <c r="AA119"/>
      <c r="AB119"/>
      <c r="AC119"/>
    </row>
    <row r="120" spans="13:29" x14ac:dyDescent="0.3">
      <c r="M120" s="50">
        <v>4.1500000000000004</v>
      </c>
      <c r="N120" s="176">
        <v>0.46034999999999987</v>
      </c>
      <c r="O120" s="176"/>
      <c r="P120" s="177">
        <f>SUM(Res2S[[#This Row],[Small]],Res2I[[#This Row],[Small]])</f>
        <v>141693.13468319504</v>
      </c>
      <c r="Q120" s="177">
        <f>SUM(Res2S[[#This Row],[Medium]],Res2I[[#This Row],[Medium]])</f>
        <v>266986.26936639007</v>
      </c>
      <c r="R120" s="177">
        <f>SUM(Res2S[[#This Row],[Large]],Res2I[[#This Row],[Large]])</f>
        <v>350515.02582185343</v>
      </c>
      <c r="S120" s="177">
        <f>SUM(Res2S[[#This Row],[Recommended]],Res2I[[#This Row],[Recommended]])</f>
        <v>322672.10700336564</v>
      </c>
      <c r="Y120"/>
      <c r="Z120"/>
      <c r="AA120"/>
      <c r="AB120"/>
      <c r="AC120"/>
    </row>
    <row r="121" spans="13:29" x14ac:dyDescent="0.3">
      <c r="M121" s="50">
        <v>4.2</v>
      </c>
      <c r="N121" s="176">
        <v>0.46034999999999987</v>
      </c>
      <c r="O121" s="176"/>
      <c r="P121" s="177">
        <f>SUM(Res2S[[#This Row],[Small]],Res2I[[#This Row],[Small]])</f>
        <v>141827.34828227016</v>
      </c>
      <c r="Q121" s="177">
        <f>SUM(Res2S[[#This Row],[Medium]],Res2I[[#This Row],[Medium]])</f>
        <v>267254.69656454033</v>
      </c>
      <c r="R121" s="177">
        <f>SUM(Res2S[[#This Row],[Large]],Res2I[[#This Row],[Large]])</f>
        <v>350872.92875272047</v>
      </c>
      <c r="S121" s="177">
        <f>SUM(Res2S[[#This Row],[Recommended]],Res2I[[#This Row],[Recommended]])</f>
        <v>323000.18468999374</v>
      </c>
      <c r="Y121"/>
      <c r="Z121"/>
      <c r="AA121"/>
      <c r="AB121"/>
      <c r="AC121"/>
    </row>
    <row r="122" spans="13:29" x14ac:dyDescent="0.3">
      <c r="M122" s="50">
        <v>4.25</v>
      </c>
      <c r="N122" s="176">
        <v>0.46034999999999987</v>
      </c>
      <c r="O122" s="176"/>
      <c r="P122" s="177">
        <f>SUM(Res2S[[#This Row],[Small]],Res2I[[#This Row],[Small]])</f>
        <v>141961.56188134532</v>
      </c>
      <c r="Q122" s="177">
        <f>SUM(Res2S[[#This Row],[Medium]],Res2I[[#This Row],[Medium]])</f>
        <v>267523.12376269064</v>
      </c>
      <c r="R122" s="177">
        <f>SUM(Res2S[[#This Row],[Large]],Res2I[[#This Row],[Large]])</f>
        <v>351230.83168358757</v>
      </c>
      <c r="S122" s="177">
        <f>SUM(Res2S[[#This Row],[Recommended]],Res2I[[#This Row],[Recommended]])</f>
        <v>323328.26237662195</v>
      </c>
      <c r="Y122"/>
      <c r="Z122"/>
      <c r="AA122"/>
      <c r="AB122"/>
      <c r="AC122"/>
    </row>
    <row r="123" spans="13:29" x14ac:dyDescent="0.3">
      <c r="M123" s="50">
        <v>4.3</v>
      </c>
      <c r="N123" s="176">
        <v>0.46034999999999987</v>
      </c>
      <c r="O123" s="176"/>
      <c r="P123" s="177">
        <f>SUM(Res2S[[#This Row],[Small]],Res2I[[#This Row],[Small]])</f>
        <v>142051.03761406208</v>
      </c>
      <c r="Q123" s="177">
        <f>SUM(Res2S[[#This Row],[Medium]],Res2I[[#This Row],[Medium]])</f>
        <v>267702.07522812416</v>
      </c>
      <c r="R123" s="177">
        <f>SUM(Res2S[[#This Row],[Large]],Res2I[[#This Row],[Large]])</f>
        <v>351469.43363749894</v>
      </c>
      <c r="S123" s="177">
        <f>SUM(Res2S[[#This Row],[Recommended]],Res2I[[#This Row],[Recommended]])</f>
        <v>323546.98083437403</v>
      </c>
      <c r="Y123"/>
      <c r="Z123"/>
      <c r="AA123"/>
      <c r="AB123"/>
      <c r="AC123"/>
    </row>
    <row r="124" spans="13:29" x14ac:dyDescent="0.3">
      <c r="M124" s="50">
        <v>4.3499999999999996</v>
      </c>
      <c r="N124" s="176">
        <v>0.46034999999999987</v>
      </c>
      <c r="O124" s="176"/>
      <c r="P124" s="177">
        <f>SUM(Res2S[[#This Row],[Small]],Res2I[[#This Row],[Small]])</f>
        <v>142140.51334677887</v>
      </c>
      <c r="Q124" s="177">
        <f>SUM(Res2S[[#This Row],[Medium]],Res2I[[#This Row],[Medium]])</f>
        <v>267881.02669355774</v>
      </c>
      <c r="R124" s="177">
        <f>SUM(Res2S[[#This Row],[Large]],Res2I[[#This Row],[Large]])</f>
        <v>351708.0355914103</v>
      </c>
      <c r="S124" s="177">
        <f>SUM(Res2S[[#This Row],[Recommended]],Res2I[[#This Row],[Recommended]])</f>
        <v>323765.69929212611</v>
      </c>
      <c r="Y124"/>
      <c r="Z124"/>
      <c r="AA124"/>
      <c r="AB124"/>
      <c r="AC124"/>
    </row>
    <row r="125" spans="13:29" x14ac:dyDescent="0.3">
      <c r="M125" s="50">
        <v>4.4000000000000004</v>
      </c>
      <c r="N125" s="176">
        <v>0.46034999999999987</v>
      </c>
      <c r="O125" s="176"/>
      <c r="P125" s="177">
        <f>SUM(Res2S[[#This Row],[Small]],Res2I[[#This Row],[Small]])</f>
        <v>142229.9890794956</v>
      </c>
      <c r="Q125" s="177">
        <f>SUM(Res2S[[#This Row],[Medium]],Res2I[[#This Row],[Medium]])</f>
        <v>268059.9781589912</v>
      </c>
      <c r="R125" s="177">
        <f>SUM(Res2S[[#This Row],[Large]],Res2I[[#This Row],[Large]])</f>
        <v>351946.63754532172</v>
      </c>
      <c r="S125" s="177">
        <f>SUM(Res2S[[#This Row],[Recommended]],Res2I[[#This Row],[Recommended]])</f>
        <v>323984.41774987819</v>
      </c>
      <c r="Y125"/>
      <c r="Z125"/>
      <c r="AA125"/>
      <c r="AB125"/>
      <c r="AC125"/>
    </row>
    <row r="126" spans="13:29" x14ac:dyDescent="0.3">
      <c r="M126" s="50">
        <v>4.45</v>
      </c>
      <c r="N126" s="176">
        <v>0.46034999999999987</v>
      </c>
      <c r="O126" s="176"/>
      <c r="P126" s="177">
        <f>SUM(Res2S[[#This Row],[Small]],Res2I[[#This Row],[Small]])</f>
        <v>142319.46481221239</v>
      </c>
      <c r="Q126" s="177">
        <f>SUM(Res2S[[#This Row],[Medium]],Res2I[[#This Row],[Medium]])</f>
        <v>268238.92962442478</v>
      </c>
      <c r="R126" s="177">
        <f>SUM(Res2S[[#This Row],[Large]],Res2I[[#This Row],[Large]])</f>
        <v>352185.23949923308</v>
      </c>
      <c r="S126" s="177">
        <f>SUM(Res2S[[#This Row],[Recommended]],Res2I[[#This Row],[Recommended]])</f>
        <v>324203.13620763028</v>
      </c>
      <c r="Y126"/>
      <c r="Z126"/>
      <c r="AA126"/>
      <c r="AB126"/>
      <c r="AC126"/>
    </row>
    <row r="127" spans="13:29" x14ac:dyDescent="0.3">
      <c r="M127" s="50">
        <v>4.5</v>
      </c>
      <c r="N127" s="176">
        <v>0.46034999999999987</v>
      </c>
      <c r="O127" s="176"/>
      <c r="P127" s="177">
        <f>SUM(Res2S[[#This Row],[Small]],Res2I[[#This Row],[Small]])</f>
        <v>142408.94054492915</v>
      </c>
      <c r="Q127" s="177">
        <f>SUM(Res2S[[#This Row],[Medium]],Res2I[[#This Row],[Medium]])</f>
        <v>268417.8810898583</v>
      </c>
      <c r="R127" s="177">
        <f>SUM(Res2S[[#This Row],[Large]],Res2I[[#This Row],[Large]])</f>
        <v>352423.84145314444</v>
      </c>
      <c r="S127" s="177">
        <f>SUM(Res2S[[#This Row],[Recommended]],Res2I[[#This Row],[Recommended]])</f>
        <v>324421.85466538236</v>
      </c>
      <c r="Y127"/>
      <c r="Z127"/>
      <c r="AA127"/>
      <c r="AB127"/>
      <c r="AC127"/>
    </row>
    <row r="128" spans="13:29" x14ac:dyDescent="0.3">
      <c r="M128" s="50">
        <v>4.55</v>
      </c>
      <c r="N128" s="176">
        <v>0.46034999999999987</v>
      </c>
      <c r="O128" s="176"/>
      <c r="P128" s="177">
        <f>SUM(Res2S[[#This Row],[Small]],Res2I[[#This Row],[Small]])</f>
        <v>142543.15414400428</v>
      </c>
      <c r="Q128" s="177">
        <f>SUM(Res2S[[#This Row],[Medium]],Res2I[[#This Row],[Medium]])</f>
        <v>268686.30828800856</v>
      </c>
      <c r="R128" s="177">
        <f>SUM(Res2S[[#This Row],[Large]],Res2I[[#This Row],[Large]])</f>
        <v>352781.74438401149</v>
      </c>
      <c r="S128" s="177">
        <f>SUM(Res2S[[#This Row],[Recommended]],Res2I[[#This Row],[Recommended]])</f>
        <v>324749.93235201051</v>
      </c>
      <c r="Y128"/>
      <c r="Z128"/>
      <c r="AA128"/>
      <c r="AB128"/>
      <c r="AC128"/>
    </row>
    <row r="129" spans="13:29" x14ac:dyDescent="0.3">
      <c r="M129" s="50">
        <v>4.5999999999999996</v>
      </c>
      <c r="N129" s="176">
        <v>0.46034999999999987</v>
      </c>
      <c r="O129" s="176"/>
      <c r="P129" s="177">
        <f>SUM(Res2S[[#This Row],[Small]],Res2I[[#This Row],[Small]])</f>
        <v>142677.36774307943</v>
      </c>
      <c r="Q129" s="177">
        <f>SUM(Res2S[[#This Row],[Medium]],Res2I[[#This Row],[Medium]])</f>
        <v>268954.73548615887</v>
      </c>
      <c r="R129" s="177">
        <f>SUM(Res2S[[#This Row],[Large]],Res2I[[#This Row],[Large]])</f>
        <v>353139.64731487853</v>
      </c>
      <c r="S129" s="177">
        <f>SUM(Res2S[[#This Row],[Recommended]],Res2I[[#This Row],[Recommended]])</f>
        <v>325078.01003863866</v>
      </c>
      <c r="Y129"/>
      <c r="Z129"/>
      <c r="AA129"/>
      <c r="AB129"/>
      <c r="AC129"/>
    </row>
    <row r="130" spans="13:29" x14ac:dyDescent="0.3">
      <c r="M130" s="50">
        <v>4.6500000000000004</v>
      </c>
      <c r="N130" s="176">
        <v>0.46034999999999987</v>
      </c>
      <c r="O130" s="176"/>
      <c r="P130" s="177">
        <f>SUM(Res2S[[#This Row],[Small]],Res2I[[#This Row],[Small]])</f>
        <v>142811.58134215459</v>
      </c>
      <c r="Q130" s="177">
        <f>SUM(Res2S[[#This Row],[Medium]],Res2I[[#This Row],[Medium]])</f>
        <v>269223.16268430918</v>
      </c>
      <c r="R130" s="177">
        <f>SUM(Res2S[[#This Row],[Large]],Res2I[[#This Row],[Large]])</f>
        <v>353497.55024574557</v>
      </c>
      <c r="S130" s="177">
        <f>SUM(Res2S[[#This Row],[Recommended]],Res2I[[#This Row],[Recommended]])</f>
        <v>325406.08772526681</v>
      </c>
      <c r="Y130"/>
      <c r="Z130"/>
      <c r="AA130"/>
      <c r="AB130"/>
      <c r="AC130"/>
    </row>
    <row r="131" spans="13:29" x14ac:dyDescent="0.3">
      <c r="M131" s="50">
        <v>4.7</v>
      </c>
      <c r="N131" s="176">
        <v>0.46034999999999987</v>
      </c>
      <c r="O131" s="176"/>
      <c r="P131" s="177">
        <f>SUM(Res2S[[#This Row],[Small]],Res2I[[#This Row],[Small]])</f>
        <v>142945.79494122975</v>
      </c>
      <c r="Q131" s="177">
        <f>SUM(Res2S[[#This Row],[Medium]],Res2I[[#This Row],[Medium]])</f>
        <v>269491.58988245949</v>
      </c>
      <c r="R131" s="177">
        <f>SUM(Res2S[[#This Row],[Large]],Res2I[[#This Row],[Large]])</f>
        <v>353855.45317661267</v>
      </c>
      <c r="S131" s="177">
        <f>SUM(Res2S[[#This Row],[Recommended]],Res2I[[#This Row],[Recommended]])</f>
        <v>325734.16541189491</v>
      </c>
      <c r="Y131"/>
      <c r="Z131"/>
      <c r="AA131"/>
      <c r="AB131"/>
      <c r="AC131"/>
    </row>
    <row r="132" spans="13:29" x14ac:dyDescent="0.3">
      <c r="M132" s="50">
        <v>4.75</v>
      </c>
      <c r="N132" s="176">
        <v>0.46034999999999987</v>
      </c>
      <c r="O132" s="176"/>
      <c r="P132" s="177">
        <f>SUM(Res2S[[#This Row],[Small]],Res2I[[#This Row],[Small]])</f>
        <v>143080.00854030487</v>
      </c>
      <c r="Q132" s="177">
        <f>SUM(Res2S[[#This Row],[Medium]],Res2I[[#This Row],[Medium]])</f>
        <v>269760.01708060974</v>
      </c>
      <c r="R132" s="177">
        <f>SUM(Res2S[[#This Row],[Large]],Res2I[[#This Row],[Large]])</f>
        <v>354213.35610747972</v>
      </c>
      <c r="S132" s="177">
        <f>SUM(Res2S[[#This Row],[Recommended]],Res2I[[#This Row],[Recommended]])</f>
        <v>326062.24309852306</v>
      </c>
      <c r="Y132"/>
      <c r="Z132"/>
      <c r="AA132"/>
      <c r="AB132"/>
      <c r="AC132"/>
    </row>
    <row r="133" spans="13:29" x14ac:dyDescent="0.3">
      <c r="M133" s="50">
        <v>4.8</v>
      </c>
      <c r="N133" s="176">
        <v>0.46034999999999987</v>
      </c>
      <c r="O133" s="176"/>
      <c r="P133" s="177">
        <f>SUM(Res2S[[#This Row],[Small]],Res2I[[#This Row],[Small]])</f>
        <v>143169.48427302163</v>
      </c>
      <c r="Q133" s="177">
        <f>SUM(Res2S[[#This Row],[Medium]],Res2I[[#This Row],[Medium]])</f>
        <v>269938.96854604327</v>
      </c>
      <c r="R133" s="177">
        <f>SUM(Res2S[[#This Row],[Large]],Res2I[[#This Row],[Large]])</f>
        <v>354451.95806139108</v>
      </c>
      <c r="S133" s="177">
        <f>SUM(Res2S[[#This Row],[Recommended]],Res2I[[#This Row],[Recommended]])</f>
        <v>326280.96155627514</v>
      </c>
      <c r="Y133"/>
      <c r="Z133"/>
      <c r="AA133"/>
      <c r="AB133"/>
      <c r="AC133"/>
    </row>
    <row r="134" spans="13:29" x14ac:dyDescent="0.3">
      <c r="M134" s="50">
        <v>4.8499999999999996</v>
      </c>
      <c r="N134" s="176">
        <v>0.46034999999999987</v>
      </c>
      <c r="O134" s="176"/>
      <c r="P134" s="177">
        <f>SUM(Res2S[[#This Row],[Small]],Res2I[[#This Row],[Small]])</f>
        <v>143258.96000573842</v>
      </c>
      <c r="Q134" s="177">
        <f>SUM(Res2S[[#This Row],[Medium]],Res2I[[#This Row],[Medium]])</f>
        <v>270117.92001147685</v>
      </c>
      <c r="R134" s="177">
        <f>SUM(Res2S[[#This Row],[Large]],Res2I[[#This Row],[Large]])</f>
        <v>354690.56001530244</v>
      </c>
      <c r="S134" s="177">
        <f>SUM(Res2S[[#This Row],[Recommended]],Res2I[[#This Row],[Recommended]])</f>
        <v>326499.68001402722</v>
      </c>
    </row>
    <row r="135" spans="13:29" x14ac:dyDescent="0.3">
      <c r="M135" s="50">
        <v>4.9000000000000004</v>
      </c>
      <c r="N135" s="176">
        <v>0.46034999999999987</v>
      </c>
      <c r="O135" s="176"/>
      <c r="P135" s="177">
        <f>SUM(Res2S[[#This Row],[Small]],Res2I[[#This Row],[Small]])</f>
        <v>143348.43573845515</v>
      </c>
      <c r="Q135" s="177">
        <f>SUM(Res2S[[#This Row],[Medium]],Res2I[[#This Row],[Medium]])</f>
        <v>270296.87147691031</v>
      </c>
      <c r="R135" s="177">
        <f>SUM(Res2S[[#This Row],[Large]],Res2I[[#This Row],[Large]])</f>
        <v>354929.1619692138</v>
      </c>
      <c r="S135" s="177">
        <f>SUM(Res2S[[#This Row],[Recommended]],Res2I[[#This Row],[Recommended]])</f>
        <v>326718.39847177931</v>
      </c>
    </row>
    <row r="136" spans="13:29" x14ac:dyDescent="0.3">
      <c r="M136" s="50">
        <v>4.95</v>
      </c>
      <c r="N136" s="176">
        <v>0.46034999999999987</v>
      </c>
      <c r="O136" s="176"/>
      <c r="P136" s="177">
        <f>SUM(Res2S[[#This Row],[Small]],Res2I[[#This Row],[Small]])</f>
        <v>143437.91147117194</v>
      </c>
      <c r="Q136" s="177">
        <f>SUM(Res2S[[#This Row],[Medium]],Res2I[[#This Row],[Medium]])</f>
        <v>270475.82294234389</v>
      </c>
      <c r="R136" s="177">
        <f>SUM(Res2S[[#This Row],[Large]],Res2I[[#This Row],[Large]])</f>
        <v>355167.76392312523</v>
      </c>
      <c r="S136" s="177">
        <f>SUM(Res2S[[#This Row],[Recommended]],Res2I[[#This Row],[Recommended]])</f>
        <v>326937.11692953145</v>
      </c>
    </row>
    <row r="137" spans="13:29" x14ac:dyDescent="0.3">
      <c r="M137" s="50">
        <v>5</v>
      </c>
      <c r="N137" s="176">
        <v>0.46034999999999987</v>
      </c>
      <c r="O137" s="176"/>
      <c r="P137" s="177">
        <f>SUM(Res2S[[#This Row],[Small]],Res2I[[#This Row],[Small]])</f>
        <v>143527.38720388871</v>
      </c>
      <c r="Q137" s="177">
        <f>SUM(Res2S[[#This Row],[Medium]],Res2I[[#This Row],[Medium]])</f>
        <v>270654.77440777741</v>
      </c>
      <c r="R137" s="177">
        <f>SUM(Res2S[[#This Row],[Large]],Res2I[[#This Row],[Large]])</f>
        <v>355406.36587703659</v>
      </c>
      <c r="S137" s="177">
        <f>SUM(Res2S[[#This Row],[Recommended]],Res2I[[#This Row],[Recommended]])</f>
        <v>327155.83538728353</v>
      </c>
    </row>
    <row r="138" spans="13:29" x14ac:dyDescent="0.3">
      <c r="M138" s="50">
        <v>5.05</v>
      </c>
      <c r="N138" s="176">
        <v>0.46034999999999987</v>
      </c>
      <c r="O138" s="176"/>
      <c r="P138" s="177">
        <f>SUM(Res2S[[#This Row],[Small]],Res2I[[#This Row],[Small]])</f>
        <v>143572.1250702471</v>
      </c>
      <c r="Q138" s="177">
        <f>SUM(Res2S[[#This Row],[Medium]],Res2I[[#This Row],[Medium]])</f>
        <v>270744.2501404942</v>
      </c>
      <c r="R138" s="177">
        <f>SUM(Res2S[[#This Row],[Large]],Res2I[[#This Row],[Large]])</f>
        <v>355525.66685399227</v>
      </c>
      <c r="S138" s="177">
        <f>SUM(Res2S[[#This Row],[Recommended]],Res2I[[#This Row],[Recommended]])</f>
        <v>327265.19461615954</v>
      </c>
    </row>
    <row r="139" spans="13:29" x14ac:dyDescent="0.3">
      <c r="M139" s="50">
        <v>5.0999999999999996</v>
      </c>
      <c r="N139" s="176">
        <v>0.46034999999999987</v>
      </c>
      <c r="O139" s="176"/>
      <c r="P139" s="177">
        <f>SUM(Res2S[[#This Row],[Small]],Res2I[[#This Row],[Small]])</f>
        <v>143616.86293660547</v>
      </c>
      <c r="Q139" s="177">
        <f>SUM(Res2S[[#This Row],[Medium]],Res2I[[#This Row],[Medium]])</f>
        <v>270833.72587321093</v>
      </c>
      <c r="R139" s="177">
        <f>SUM(Res2S[[#This Row],[Large]],Res2I[[#This Row],[Large]])</f>
        <v>355644.96783094795</v>
      </c>
      <c r="S139" s="177">
        <f>SUM(Res2S[[#This Row],[Recommended]],Res2I[[#This Row],[Recommended]])</f>
        <v>327374.55384503561</v>
      </c>
    </row>
    <row r="140" spans="13:29" x14ac:dyDescent="0.3">
      <c r="M140" s="50">
        <v>5.15</v>
      </c>
      <c r="N140" s="176">
        <v>0.46034999999999987</v>
      </c>
      <c r="O140" s="176"/>
      <c r="P140" s="177">
        <f>SUM(Res2S[[#This Row],[Small]],Res2I[[#This Row],[Small]])</f>
        <v>143661.60080296383</v>
      </c>
      <c r="Q140" s="177">
        <f>SUM(Res2S[[#This Row],[Medium]],Res2I[[#This Row],[Medium]])</f>
        <v>270923.20160592766</v>
      </c>
      <c r="R140" s="177">
        <f>SUM(Res2S[[#This Row],[Large]],Res2I[[#This Row],[Large]])</f>
        <v>355764.26880790363</v>
      </c>
      <c r="S140" s="177">
        <f>SUM(Res2S[[#This Row],[Recommended]],Res2I[[#This Row],[Recommended]])</f>
        <v>327483.91307391162</v>
      </c>
    </row>
    <row r="141" spans="13:29" x14ac:dyDescent="0.3">
      <c r="M141" s="50">
        <v>5.2</v>
      </c>
      <c r="N141" s="176">
        <v>0.46034999999999987</v>
      </c>
      <c r="O141" s="176"/>
      <c r="P141" s="177">
        <f>SUM(Res2S[[#This Row],[Small]],Res2I[[#This Row],[Small]])</f>
        <v>143706.33866932223</v>
      </c>
      <c r="Q141" s="177">
        <f>SUM(Res2S[[#This Row],[Medium]],Res2I[[#This Row],[Medium]])</f>
        <v>271012.67733864445</v>
      </c>
      <c r="R141" s="177">
        <f>SUM(Res2S[[#This Row],[Large]],Res2I[[#This Row],[Large]])</f>
        <v>355883.56978485931</v>
      </c>
      <c r="S141" s="177">
        <f>SUM(Res2S[[#This Row],[Recommended]],Res2I[[#This Row],[Recommended]])</f>
        <v>327593.27230278769</v>
      </c>
    </row>
    <row r="142" spans="13:29" x14ac:dyDescent="0.3">
      <c r="M142" s="50">
        <v>5.25</v>
      </c>
      <c r="N142" s="176">
        <v>0.46034999999999987</v>
      </c>
      <c r="O142" s="176"/>
      <c r="P142" s="177">
        <f>SUM(Res2S[[#This Row],[Small]],Res2I[[#This Row],[Small]])</f>
        <v>143751.07653568062</v>
      </c>
      <c r="Q142" s="177">
        <f>SUM(Res2S[[#This Row],[Medium]],Res2I[[#This Row],[Medium]])</f>
        <v>271102.15307136124</v>
      </c>
      <c r="R142" s="177">
        <f>SUM(Res2S[[#This Row],[Large]],Res2I[[#This Row],[Large]])</f>
        <v>356002.87076181499</v>
      </c>
      <c r="S142" s="177">
        <f>SUM(Res2S[[#This Row],[Recommended]],Res2I[[#This Row],[Recommended]])</f>
        <v>327702.6315316637</v>
      </c>
    </row>
    <row r="143" spans="13:29" x14ac:dyDescent="0.3">
      <c r="M143" s="50">
        <v>5.3</v>
      </c>
      <c r="N143" s="176">
        <v>0.46034999999999987</v>
      </c>
      <c r="O143" s="176"/>
      <c r="P143" s="177">
        <f>SUM(Res2S[[#This Row],[Small]],Res2I[[#This Row],[Small]])</f>
        <v>143795.81440203899</v>
      </c>
      <c r="Q143" s="177">
        <f>SUM(Res2S[[#This Row],[Medium]],Res2I[[#This Row],[Medium]])</f>
        <v>271191.62880407798</v>
      </c>
      <c r="R143" s="177">
        <f>SUM(Res2S[[#This Row],[Large]],Res2I[[#This Row],[Large]])</f>
        <v>356122.17173877067</v>
      </c>
      <c r="S143" s="177">
        <f>SUM(Res2S[[#This Row],[Recommended]],Res2I[[#This Row],[Recommended]])</f>
        <v>327811.99076053977</v>
      </c>
    </row>
    <row r="144" spans="13:29" x14ac:dyDescent="0.3">
      <c r="M144" s="50">
        <v>5.35</v>
      </c>
      <c r="N144" s="176">
        <v>0.46034999999999987</v>
      </c>
      <c r="O144" s="176"/>
      <c r="P144" s="177">
        <f>SUM(Res2S[[#This Row],[Small]],Res2I[[#This Row],[Small]])</f>
        <v>143840.55226839738</v>
      </c>
      <c r="Q144" s="177">
        <f>SUM(Res2S[[#This Row],[Medium]],Res2I[[#This Row],[Medium]])</f>
        <v>271281.10453679477</v>
      </c>
      <c r="R144" s="177">
        <f>SUM(Res2S[[#This Row],[Large]],Res2I[[#This Row],[Large]])</f>
        <v>356241.47271572636</v>
      </c>
      <c r="S144" s="177">
        <f>SUM(Res2S[[#This Row],[Recommended]],Res2I[[#This Row],[Recommended]])</f>
        <v>327921.34998941584</v>
      </c>
    </row>
    <row r="145" spans="13:19" x14ac:dyDescent="0.3">
      <c r="M145" s="50">
        <v>5.4</v>
      </c>
      <c r="N145" s="176">
        <v>0.46034999999999987</v>
      </c>
      <c r="O145" s="176"/>
      <c r="P145" s="177">
        <f>SUM(Res2S[[#This Row],[Small]],Res2I[[#This Row],[Small]])</f>
        <v>143885.29013475575</v>
      </c>
      <c r="Q145" s="177">
        <f>SUM(Res2S[[#This Row],[Medium]],Res2I[[#This Row],[Medium]])</f>
        <v>271370.5802695115</v>
      </c>
      <c r="R145" s="177">
        <f>SUM(Res2S[[#This Row],[Large]],Res2I[[#This Row],[Large]])</f>
        <v>356360.77369268204</v>
      </c>
      <c r="S145" s="177">
        <f>SUM(Res2S[[#This Row],[Recommended]],Res2I[[#This Row],[Recommended]])</f>
        <v>328030.70921829186</v>
      </c>
    </row>
    <row r="146" spans="13:19" x14ac:dyDescent="0.3">
      <c r="M146" s="50">
        <v>5.45</v>
      </c>
      <c r="N146" s="176">
        <v>0.46034999999999987</v>
      </c>
      <c r="O146" s="176"/>
      <c r="P146" s="177">
        <f>SUM(Res2S[[#This Row],[Small]],Res2I[[#This Row],[Small]])</f>
        <v>143930.02800111414</v>
      </c>
      <c r="Q146" s="177">
        <f>SUM(Res2S[[#This Row],[Medium]],Res2I[[#This Row],[Medium]])</f>
        <v>271460.05600222829</v>
      </c>
      <c r="R146" s="177">
        <f>SUM(Res2S[[#This Row],[Large]],Res2I[[#This Row],[Large]])</f>
        <v>356480.07466963772</v>
      </c>
      <c r="S146" s="177">
        <f>SUM(Res2S[[#This Row],[Recommended]],Res2I[[#This Row],[Recommended]])</f>
        <v>328140.06844716787</v>
      </c>
    </row>
    <row r="147" spans="13:19" x14ac:dyDescent="0.3">
      <c r="M147" s="50">
        <v>5.5</v>
      </c>
      <c r="N147" s="176">
        <v>0.46034999999999987</v>
      </c>
      <c r="O147" s="176"/>
      <c r="P147" s="177">
        <f>SUM(Res2S[[#This Row],[Small]],Res2I[[#This Row],[Small]])</f>
        <v>143974.76586747251</v>
      </c>
      <c r="Q147" s="177">
        <f>SUM(Res2S[[#This Row],[Medium]],Res2I[[#This Row],[Medium]])</f>
        <v>271549.53173494502</v>
      </c>
      <c r="R147" s="177">
        <f>SUM(Res2S[[#This Row],[Large]],Res2I[[#This Row],[Large]])</f>
        <v>356599.3756465934</v>
      </c>
      <c r="S147" s="177">
        <f>SUM(Res2S[[#This Row],[Recommended]],Res2I[[#This Row],[Recommended]])</f>
        <v>328249.42767604394</v>
      </c>
    </row>
    <row r="148" spans="13:19" x14ac:dyDescent="0.3">
      <c r="M148" s="50">
        <v>5.55</v>
      </c>
      <c r="N148" s="176">
        <v>0.46034999999999987</v>
      </c>
      <c r="O148" s="176"/>
      <c r="P148" s="177">
        <f>SUM(Res2S[[#This Row],[Small]],Res2I[[#This Row],[Small]])</f>
        <v>143997.13480065172</v>
      </c>
      <c r="Q148" s="177">
        <f>SUM(Res2S[[#This Row],[Medium]],Res2I[[#This Row],[Medium]])</f>
        <v>271594.26960130344</v>
      </c>
      <c r="R148" s="177">
        <f>SUM(Res2S[[#This Row],[Large]],Res2I[[#This Row],[Large]])</f>
        <v>356659.0261350713</v>
      </c>
      <c r="S148" s="177">
        <f>SUM(Res2S[[#This Row],[Recommended]],Res2I[[#This Row],[Recommended]])</f>
        <v>328304.10729048197</v>
      </c>
    </row>
    <row r="149" spans="13:19" x14ac:dyDescent="0.3">
      <c r="M149" s="50">
        <v>5.6</v>
      </c>
      <c r="N149" s="176">
        <v>0.46034999999999987</v>
      </c>
      <c r="O149" s="176"/>
      <c r="P149" s="177">
        <f>SUM(Res2S[[#This Row],[Small]],Res2I[[#This Row],[Small]])</f>
        <v>144019.5037338309</v>
      </c>
      <c r="Q149" s="177">
        <f>SUM(Res2S[[#This Row],[Medium]],Res2I[[#This Row],[Medium]])</f>
        <v>271639.00746766181</v>
      </c>
      <c r="R149" s="177">
        <f>SUM(Res2S[[#This Row],[Large]],Res2I[[#This Row],[Large]])</f>
        <v>356718.67662354914</v>
      </c>
      <c r="S149" s="177">
        <f>SUM(Res2S[[#This Row],[Recommended]],Res2I[[#This Row],[Recommended]])</f>
        <v>328358.78690492001</v>
      </c>
    </row>
    <row r="150" spans="13:19" x14ac:dyDescent="0.3">
      <c r="M150" s="50">
        <v>5.65</v>
      </c>
      <c r="N150" s="176">
        <v>0.46034999999999987</v>
      </c>
      <c r="O150" s="176"/>
      <c r="P150" s="177">
        <f>SUM(Res2S[[#This Row],[Small]],Res2I[[#This Row],[Small]])</f>
        <v>144041.87266701009</v>
      </c>
      <c r="Q150" s="177">
        <f>SUM(Res2S[[#This Row],[Medium]],Res2I[[#This Row],[Medium]])</f>
        <v>271683.74533402018</v>
      </c>
      <c r="R150" s="177">
        <f>SUM(Res2S[[#This Row],[Large]],Res2I[[#This Row],[Large]])</f>
        <v>356778.32711202698</v>
      </c>
      <c r="S150" s="177">
        <f>SUM(Res2S[[#This Row],[Recommended]],Res2I[[#This Row],[Recommended]])</f>
        <v>328413.46651935804</v>
      </c>
    </row>
    <row r="151" spans="13:19" x14ac:dyDescent="0.3">
      <c r="M151" s="50">
        <v>5.7</v>
      </c>
      <c r="N151" s="176">
        <v>0.46034999999999987</v>
      </c>
      <c r="O151" s="176"/>
      <c r="P151" s="177">
        <f>SUM(Res2S[[#This Row],[Small]],Res2I[[#This Row],[Small]])</f>
        <v>144064.2416001893</v>
      </c>
      <c r="Q151" s="177">
        <f>SUM(Res2S[[#This Row],[Medium]],Res2I[[#This Row],[Medium]])</f>
        <v>271728.4832003786</v>
      </c>
      <c r="R151" s="177">
        <f>SUM(Res2S[[#This Row],[Large]],Res2I[[#This Row],[Large]])</f>
        <v>356837.97760050482</v>
      </c>
      <c r="S151" s="177">
        <f>SUM(Res2S[[#This Row],[Recommended]],Res2I[[#This Row],[Recommended]])</f>
        <v>328468.14613379608</v>
      </c>
    </row>
    <row r="152" spans="13:19" x14ac:dyDescent="0.3">
      <c r="M152" s="50">
        <v>5.75</v>
      </c>
      <c r="N152" s="176">
        <v>0.46034999999999987</v>
      </c>
      <c r="O152" s="176"/>
      <c r="P152" s="177">
        <f>SUM(Res2S[[#This Row],[Small]],Res2I[[#This Row],[Small]])</f>
        <v>144086.61053336848</v>
      </c>
      <c r="Q152" s="177">
        <f>SUM(Res2S[[#This Row],[Medium]],Res2I[[#This Row],[Medium]])</f>
        <v>271773.22106673697</v>
      </c>
      <c r="R152" s="177">
        <f>SUM(Res2S[[#This Row],[Large]],Res2I[[#This Row],[Large]])</f>
        <v>356897.62808898266</v>
      </c>
      <c r="S152" s="177">
        <f>SUM(Res2S[[#This Row],[Recommended]],Res2I[[#This Row],[Recommended]])</f>
        <v>328522.82574823406</v>
      </c>
    </row>
    <row r="153" spans="13:19" x14ac:dyDescent="0.3">
      <c r="M153" s="50">
        <v>5.8</v>
      </c>
      <c r="N153" s="176">
        <v>0.46034999999999987</v>
      </c>
      <c r="O153" s="176"/>
      <c r="P153" s="177">
        <f>SUM(Res2S[[#This Row],[Small]],Res2I[[#This Row],[Small]])</f>
        <v>144108.97946654767</v>
      </c>
      <c r="Q153" s="177">
        <f>SUM(Res2S[[#This Row],[Medium]],Res2I[[#This Row],[Medium]])</f>
        <v>271817.95893309533</v>
      </c>
      <c r="R153" s="177">
        <f>SUM(Res2S[[#This Row],[Large]],Res2I[[#This Row],[Large]])</f>
        <v>356957.27857746044</v>
      </c>
      <c r="S153" s="177">
        <f>SUM(Res2S[[#This Row],[Recommended]],Res2I[[#This Row],[Recommended]])</f>
        <v>328577.50536267209</v>
      </c>
    </row>
    <row r="154" spans="13:19" x14ac:dyDescent="0.3">
      <c r="M154" s="50">
        <v>5.85</v>
      </c>
      <c r="N154" s="176">
        <v>0.46034999999999987</v>
      </c>
      <c r="O154" s="176"/>
      <c r="P154" s="177">
        <f>SUM(Res2S[[#This Row],[Small]],Res2I[[#This Row],[Small]])</f>
        <v>144131.34839972685</v>
      </c>
      <c r="Q154" s="177">
        <f>SUM(Res2S[[#This Row],[Medium]],Res2I[[#This Row],[Medium]])</f>
        <v>271862.6967994537</v>
      </c>
      <c r="R154" s="177">
        <f>SUM(Res2S[[#This Row],[Large]],Res2I[[#This Row],[Large]])</f>
        <v>357016.92906593834</v>
      </c>
      <c r="S154" s="177">
        <f>SUM(Res2S[[#This Row],[Recommended]],Res2I[[#This Row],[Recommended]])</f>
        <v>328632.18497711013</v>
      </c>
    </row>
    <row r="155" spans="13:19" x14ac:dyDescent="0.3">
      <c r="M155" s="50">
        <v>5.9</v>
      </c>
      <c r="N155" s="176">
        <v>0.46034999999999987</v>
      </c>
      <c r="O155" s="176"/>
      <c r="P155" s="177">
        <f>SUM(Res2S[[#This Row],[Small]],Res2I[[#This Row],[Small]])</f>
        <v>144153.71733290603</v>
      </c>
      <c r="Q155" s="177">
        <f>SUM(Res2S[[#This Row],[Medium]],Res2I[[#This Row],[Medium]])</f>
        <v>271907.43466581206</v>
      </c>
      <c r="R155" s="177">
        <f>SUM(Res2S[[#This Row],[Large]],Res2I[[#This Row],[Large]])</f>
        <v>357076.57955441618</v>
      </c>
      <c r="S155" s="177">
        <f>SUM(Res2S[[#This Row],[Recommended]],Res2I[[#This Row],[Recommended]])</f>
        <v>328686.8645915481</v>
      </c>
    </row>
    <row r="156" spans="13:19" x14ac:dyDescent="0.3">
      <c r="M156" s="50">
        <v>5.95</v>
      </c>
      <c r="N156" s="176">
        <v>0.46034999999999987</v>
      </c>
      <c r="O156" s="176"/>
      <c r="P156" s="177">
        <f>SUM(Res2S[[#This Row],[Small]],Res2I[[#This Row],[Small]])</f>
        <v>144176.08626608524</v>
      </c>
      <c r="Q156" s="177">
        <f>SUM(Res2S[[#This Row],[Medium]],Res2I[[#This Row],[Medium]])</f>
        <v>271952.17253217049</v>
      </c>
      <c r="R156" s="177">
        <f>SUM(Res2S[[#This Row],[Large]],Res2I[[#This Row],[Large]])</f>
        <v>357136.23004289402</v>
      </c>
      <c r="S156" s="177">
        <f>SUM(Res2S[[#This Row],[Recommended]],Res2I[[#This Row],[Recommended]])</f>
        <v>328741.5442059862</v>
      </c>
    </row>
    <row r="157" spans="13:19" x14ac:dyDescent="0.3">
      <c r="M157" s="50">
        <v>6</v>
      </c>
      <c r="N157" s="176">
        <v>0.46034999999999987</v>
      </c>
      <c r="O157" s="176"/>
      <c r="P157" s="177">
        <f>SUM(Res2S[[#This Row],[Small]],Res2I[[#This Row],[Small]])</f>
        <v>144198.45519926443</v>
      </c>
      <c r="Q157" s="177">
        <f>SUM(Res2S[[#This Row],[Medium]],Res2I[[#This Row],[Medium]])</f>
        <v>271996.91039852885</v>
      </c>
      <c r="R157" s="177">
        <f>SUM(Res2S[[#This Row],[Large]],Res2I[[#This Row],[Large]])</f>
        <v>357195.88053137186</v>
      </c>
      <c r="S157" s="177">
        <f>SUM(Res2S[[#This Row],[Recommended]],Res2I[[#This Row],[Recommended]])</f>
        <v>328796.22382042417</v>
      </c>
    </row>
  </sheetData>
  <sheetProtection algorithmName="SHA-512" hashValue="pNA7I3+vKZ6h5fRhig/xyzqIbn9IbWpBtAu2mtEt4JVvlQzGRlzUZ7pnj1qgSbNF6Wswh6A6l+IZkpbjBS3ISw==" saltValue="v/6+v0FgxDLrMXAdFcaL7Q==" spinCount="100000" sheet="1" objects="1" scenarios="1"/>
  <mergeCells count="4">
    <mergeCell ref="B2:I2"/>
    <mergeCell ref="L2:S2"/>
    <mergeCell ref="V2:AC2"/>
    <mergeCell ref="Y5:AC5"/>
  </mergeCells>
  <pageMargins left="0.7" right="0.7" top="0.75" bottom="0.75" header="0.3" footer="0.3"/>
  <pageSetup orientation="portrait" r:id="rId1"/>
  <rowBreaks count="1" manualBreakCount="1">
    <brk id="28" max="16383" man="1"/>
  </rowBreaks>
  <colBreaks count="2" manualBreakCount="2">
    <brk id="10" max="1048575" man="1"/>
    <brk id="20" max="1048575" man="1"/>
  </colBreaks>
  <drawing r:id="rId2"/>
  <tableParts count="3">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D65F-E8B8-4D44-A8FF-6959DC535985}">
  <sheetPr codeName="Sheet5">
    <tabColor theme="5" tint="0.59999389629810485"/>
  </sheetPr>
  <dimension ref="A1:AN157"/>
  <sheetViews>
    <sheetView zoomScale="70" zoomScaleNormal="70" workbookViewId="0">
      <selection activeCell="F31" sqref="F31"/>
    </sheetView>
  </sheetViews>
  <sheetFormatPr defaultRowHeight="14.4" x14ac:dyDescent="0.3"/>
  <cols>
    <col min="1" max="1" width="3" customWidth="1"/>
    <col min="2" max="2" width="27.77734375" customWidth="1"/>
    <col min="3" max="9" width="9.21875" customWidth="1"/>
    <col min="10" max="11" width="3" customWidth="1"/>
    <col min="12" max="12" width="27.77734375" customWidth="1"/>
    <col min="20" max="21" width="3" customWidth="1"/>
    <col min="22" max="22" width="27.77734375" customWidth="1"/>
    <col min="23" max="29" width="9.21875" customWidth="1"/>
    <col min="30" max="31" width="3" customWidth="1"/>
    <col min="32" max="32" width="27.77734375" customWidth="1"/>
    <col min="40" max="40" width="3" customWidth="1"/>
  </cols>
  <sheetData>
    <row r="1" spans="1:40" ht="15" thickBot="1" x14ac:dyDescent="0.35">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row>
    <row r="2" spans="1:40" ht="24" thickBot="1" x14ac:dyDescent="0.5">
      <c r="B2" s="553" t="s">
        <v>55</v>
      </c>
      <c r="C2" s="554"/>
      <c r="D2" s="554"/>
      <c r="E2" s="554"/>
      <c r="F2" s="554"/>
      <c r="G2" s="554"/>
      <c r="H2" s="554"/>
      <c r="I2" s="555"/>
      <c r="L2" s="553" t="s">
        <v>55</v>
      </c>
      <c r="M2" s="554"/>
      <c r="N2" s="554"/>
      <c r="O2" s="554"/>
      <c r="P2" s="554"/>
      <c r="Q2" s="554"/>
      <c r="R2" s="554"/>
      <c r="S2" s="555"/>
      <c r="V2" s="553" t="s">
        <v>55</v>
      </c>
      <c r="W2" s="554"/>
      <c r="X2" s="554"/>
      <c r="Y2" s="554"/>
      <c r="Z2" s="554"/>
      <c r="AA2" s="554"/>
      <c r="AB2" s="554"/>
      <c r="AC2" s="555"/>
      <c r="AF2" s="553" t="s">
        <v>55</v>
      </c>
      <c r="AG2" s="554"/>
      <c r="AH2" s="554"/>
      <c r="AI2" s="554"/>
      <c r="AJ2" s="554"/>
      <c r="AK2" s="554"/>
      <c r="AL2" s="554"/>
      <c r="AM2" s="555"/>
    </row>
    <row r="3" spans="1:40" s="160" customFormat="1" x14ac:dyDescent="0.3">
      <c r="B3" s="161" t="s">
        <v>54</v>
      </c>
      <c r="L3" s="161" t="s">
        <v>54</v>
      </c>
      <c r="V3" s="161" t="s">
        <v>54</v>
      </c>
      <c r="AF3" s="161" t="s">
        <v>54</v>
      </c>
    </row>
    <row r="4" spans="1:40" ht="15" thickBot="1" x14ac:dyDescent="0.35">
      <c r="B4" s="15"/>
      <c r="L4" s="15"/>
      <c r="V4" s="15"/>
      <c r="AF4" s="15"/>
    </row>
    <row r="5" spans="1:40" x14ac:dyDescent="0.3">
      <c r="B5" s="178" t="s">
        <v>57</v>
      </c>
      <c r="C5" s="183" t="str">
        <f>"Res"&amp;LEFT(B6)&amp;LEFT(B5)</f>
        <v>Res1S</v>
      </c>
      <c r="D5" s="6"/>
      <c r="E5" s="6"/>
      <c r="F5" s="6"/>
      <c r="G5" s="6"/>
      <c r="H5" s="6"/>
      <c r="I5" s="310" t="s">
        <v>263</v>
      </c>
      <c r="L5" s="178" t="s">
        <v>57</v>
      </c>
      <c r="M5" s="183" t="str">
        <f>"Res"&amp;LEFT(L6)&amp;LEFT(L5)</f>
        <v>Res2S</v>
      </c>
      <c r="N5" s="6"/>
      <c r="O5" s="6"/>
      <c r="P5" s="269"/>
      <c r="Q5" s="6"/>
      <c r="R5" s="6"/>
      <c r="S5" s="310" t="s">
        <v>264</v>
      </c>
      <c r="V5" s="178" t="s">
        <v>123</v>
      </c>
      <c r="W5" s="183" t="str">
        <f>"Res"&amp;LEFT(V6)&amp;LEFT(V5)</f>
        <v>Res1I</v>
      </c>
      <c r="X5" s="6"/>
      <c r="Y5" s="6"/>
      <c r="Z5" s="269"/>
      <c r="AA5" s="6"/>
      <c r="AB5" s="6"/>
      <c r="AC5" s="310" t="s">
        <v>265</v>
      </c>
      <c r="AF5" s="178" t="s">
        <v>123</v>
      </c>
      <c r="AG5" s="183" t="str">
        <f>"Res"&amp;LEFT(AF6)&amp;LEFT(AF5)</f>
        <v>Res2I</v>
      </c>
      <c r="AH5" s="6"/>
      <c r="AI5" s="6"/>
      <c r="AJ5" s="269"/>
      <c r="AK5" s="6"/>
      <c r="AL5" s="6"/>
      <c r="AM5" s="310" t="s">
        <v>266</v>
      </c>
    </row>
    <row r="6" spans="1:40" ht="15" thickBot="1" x14ac:dyDescent="0.35">
      <c r="B6" s="184" t="s">
        <v>124</v>
      </c>
      <c r="C6" s="179" t="s">
        <v>60</v>
      </c>
      <c r="D6" s="179"/>
      <c r="E6" s="179"/>
      <c r="F6" s="179"/>
      <c r="G6" s="179"/>
      <c r="H6" s="179"/>
      <c r="I6" s="180"/>
      <c r="L6" s="184" t="s">
        <v>125</v>
      </c>
      <c r="M6" s="179" t="s">
        <v>60</v>
      </c>
      <c r="N6" s="179"/>
      <c r="O6" s="179"/>
      <c r="P6" s="179"/>
      <c r="Q6" s="179"/>
      <c r="R6" s="179"/>
      <c r="S6" s="180"/>
      <c r="V6" s="184" t="s">
        <v>124</v>
      </c>
      <c r="W6" s="179" t="s">
        <v>60</v>
      </c>
      <c r="X6" s="179"/>
      <c r="Y6" s="179"/>
      <c r="Z6" s="179"/>
      <c r="AA6" s="179"/>
      <c r="AB6" s="179"/>
      <c r="AC6" s="180"/>
      <c r="AF6" s="184" t="s">
        <v>125</v>
      </c>
      <c r="AG6" s="179" t="s">
        <v>60</v>
      </c>
      <c r="AH6" s="179"/>
      <c r="AI6" s="179"/>
      <c r="AJ6" s="179"/>
      <c r="AK6" s="179"/>
      <c r="AL6" s="179"/>
      <c r="AM6" s="180"/>
    </row>
    <row r="29" spans="2:39" ht="14.55" customHeight="1" x14ac:dyDescent="0.3">
      <c r="C29" s="181">
        <v>1</v>
      </c>
      <c r="D29" s="181">
        <v>2</v>
      </c>
      <c r="E29" s="181">
        <v>3</v>
      </c>
      <c r="F29" s="181">
        <v>4</v>
      </c>
      <c r="G29" s="181">
        <v>5</v>
      </c>
      <c r="H29" s="181">
        <v>6</v>
      </c>
      <c r="I29" s="181">
        <v>7</v>
      </c>
      <c r="M29" s="181">
        <v>1</v>
      </c>
      <c r="N29" s="181">
        <v>2</v>
      </c>
      <c r="O29" s="181">
        <v>3</v>
      </c>
      <c r="P29" s="181">
        <v>4</v>
      </c>
      <c r="Q29" s="181">
        <v>5</v>
      </c>
      <c r="R29" s="181">
        <v>6</v>
      </c>
      <c r="S29" s="181">
        <v>7</v>
      </c>
      <c r="W29" s="181">
        <v>1</v>
      </c>
      <c r="X29" s="181">
        <v>2</v>
      </c>
      <c r="Y29" s="181">
        <v>3</v>
      </c>
      <c r="Z29" s="181">
        <v>4</v>
      </c>
      <c r="AA29" s="181">
        <v>5</v>
      </c>
      <c r="AB29" s="181">
        <v>6</v>
      </c>
      <c r="AC29" s="181">
        <v>7</v>
      </c>
      <c r="AG29" s="181">
        <v>1</v>
      </c>
      <c r="AH29" s="181">
        <v>2</v>
      </c>
      <c r="AI29" s="181">
        <v>3</v>
      </c>
      <c r="AJ29" s="181">
        <v>4</v>
      </c>
      <c r="AK29" s="181">
        <v>5</v>
      </c>
      <c r="AL29" s="181">
        <v>6</v>
      </c>
      <c r="AM29" s="181">
        <v>7</v>
      </c>
    </row>
    <row r="30" spans="2:39" ht="43.2" x14ac:dyDescent="0.3">
      <c r="B30" s="182"/>
      <c r="C30" s="48" t="s">
        <v>58</v>
      </c>
      <c r="D30" s="49" t="s">
        <v>59</v>
      </c>
      <c r="E30" s="241" t="s">
        <v>185</v>
      </c>
      <c r="F30" s="48" t="s">
        <v>42</v>
      </c>
      <c r="G30" s="48" t="s">
        <v>43</v>
      </c>
      <c r="H30" s="48" t="s">
        <v>44</v>
      </c>
      <c r="I30" s="48" t="s">
        <v>313</v>
      </c>
      <c r="M30" s="48" t="s">
        <v>58</v>
      </c>
      <c r="N30" s="49" t="s">
        <v>59</v>
      </c>
      <c r="O30" s="241" t="s">
        <v>185</v>
      </c>
      <c r="P30" s="48" t="s">
        <v>42</v>
      </c>
      <c r="Q30" s="48" t="s">
        <v>43</v>
      </c>
      <c r="R30" s="48" t="s">
        <v>44</v>
      </c>
      <c r="S30" s="48" t="s">
        <v>313</v>
      </c>
      <c r="V30" s="371" t="s">
        <v>276</v>
      </c>
      <c r="W30" s="48" t="s">
        <v>58</v>
      </c>
      <c r="X30" s="49" t="s">
        <v>59</v>
      </c>
      <c r="Y30" s="48" t="s">
        <v>126</v>
      </c>
      <c r="Z30" s="48" t="s">
        <v>42</v>
      </c>
      <c r="AA30" s="48" t="s">
        <v>43</v>
      </c>
      <c r="AB30" s="48" t="s">
        <v>44</v>
      </c>
      <c r="AC30" s="48" t="s">
        <v>313</v>
      </c>
      <c r="AF30" s="371" t="s">
        <v>276</v>
      </c>
      <c r="AG30" s="48" t="s">
        <v>58</v>
      </c>
      <c r="AH30" s="49" t="s">
        <v>59</v>
      </c>
      <c r="AI30" s="48" t="s">
        <v>126</v>
      </c>
      <c r="AJ30" s="48" t="s">
        <v>42</v>
      </c>
      <c r="AK30" s="48" t="s">
        <v>43</v>
      </c>
      <c r="AL30" s="48" t="s">
        <v>44</v>
      </c>
      <c r="AM30" s="48" t="s">
        <v>313</v>
      </c>
    </row>
    <row r="31" spans="2:39" x14ac:dyDescent="0.3">
      <c r="C31" s="50">
        <v>-0.3</v>
      </c>
      <c r="D31" s="176">
        <v>0</v>
      </c>
      <c r="E31" s="176"/>
      <c r="F31" s="177" cm="1">
        <f t="array" ref="F31">AWE*Res1S[[#This Row],[Damage Index]]*Inputs!C$30*Inputs!C$25</f>
        <v>0</v>
      </c>
      <c r="G31" s="177" cm="1">
        <f t="array" ref="G31">AWE*Res1S[[#This Row],[Damage Index]]*Inputs!D$30*Inputs!D$25</f>
        <v>0</v>
      </c>
      <c r="H31" s="177" cm="1">
        <f t="array" ref="H31">AWE*Res1S[[#This Row],[Damage Index]]*Inputs!E$30*Inputs!E$25</f>
        <v>0</v>
      </c>
      <c r="I31" s="177" cm="1">
        <f t="array" ref="I31">AWE*Res1S[[#This Row],[Damage Index]]*Inputs!F$30*Inputs!F$25</f>
        <v>0</v>
      </c>
      <c r="M31" s="50">
        <v>-0.3</v>
      </c>
      <c r="N31" s="176">
        <v>0</v>
      </c>
      <c r="O31" s="176"/>
      <c r="P31" s="177" cm="1">
        <f t="array" ref="P31">AWE*Res2S[[#This Row],[Damage Index]]*Inputs!C$30*Inputs!C$25</f>
        <v>0</v>
      </c>
      <c r="Q31" s="177" cm="1">
        <f t="array" ref="Q31">AWE*Res2S[[#This Row],[Damage Index]]*Inputs!D$30*Inputs!D$25</f>
        <v>0</v>
      </c>
      <c r="R31" s="177" cm="1">
        <f t="array" ref="R31">AWE*Res2S[[#This Row],[Damage Index]]*Inputs!E$30*Inputs!E$25</f>
        <v>0</v>
      </c>
      <c r="S31" s="177" cm="1">
        <f t="array" ref="S31">AWE*Res2S[[#This Row],[Damage Index]]*Inputs!F$30*Inputs!F$25</f>
        <v>0</v>
      </c>
      <c r="W31" s="50">
        <v>-0.3</v>
      </c>
      <c r="X31" s="176">
        <v>0</v>
      </c>
      <c r="Y31" s="176" cm="1">
        <f t="array" ref="Y31">AWE*Res1I[[#This Row],[Damage Index]]*Actual_to_Potential</f>
        <v>0</v>
      </c>
      <c r="Z31" s="177" cm="1">
        <f t="array" ref="Z31">AWE*Res1I[[#This Row],[Adjusted Damage Index]]*Inputs!$C$38*Inputs!C$30+IF(Res1I[[#This Row],[Level (m)]]&gt;0,Cleanup,0)+VLOOKUP(Res1I[[#This Row],[Level (m)]],Relocation[],3,FALSE)</f>
        <v>0</v>
      </c>
      <c r="AA31" s="177" cm="1">
        <f t="array" ref="AA31">AWE*Res1I[[#This Row],[Adjusted Damage Index]]*Inputs!$C$38*Inputs!D$30+IF(Res1I[[#This Row],[Level (m)]]&gt;0,Cleanup,0)+VLOOKUP(Res1I[[#This Row],[Level (m)]],Relocation[],3,FALSE)</f>
        <v>0</v>
      </c>
      <c r="AB31" s="177" cm="1">
        <f t="array" ref="AB31">AWE*Res1I[[#This Row],[Adjusted Damage Index]]*Inputs!$C$38*Inputs!E$30+IF(Res1I[[#This Row],[Level (m)]]&gt;0,Cleanup,0)+VLOOKUP(Res1I[[#This Row],[Level (m)]],Relocation[],3,FALSE)</f>
        <v>0</v>
      </c>
      <c r="AC31" s="177" cm="1">
        <f t="array" ref="AC31">AWE*Res1I[[#This Row],[Adjusted Damage Index]]*Inputs!$C$38*Inputs!F$30+IF(Res1I[[#This Row],[Level (m)]]&gt;0,Cleanup,0)+VLOOKUP(Res1I[[#This Row],[Level (m)]],Relocation[],3,FALSE)</f>
        <v>0</v>
      </c>
      <c r="AG31" s="50">
        <v>-0.3</v>
      </c>
      <c r="AH31" s="176">
        <v>0</v>
      </c>
      <c r="AI31" s="176" cm="1">
        <f t="array" ref="AI31">AWE*Res2I[[#This Row],[Damage Index]]*Actual_to_Potential</f>
        <v>0</v>
      </c>
      <c r="AJ31" s="177" cm="1">
        <f t="array" ref="AJ31">AWE*Res2I[[#This Row],[Adjusted Damage Index]]*Inputs!$C$38*Inputs!C$31+IF(Res2I[[#This Row],[Level (m)]]&gt;0,Cleanup,0)+VLOOKUP(Res2I[[#This Row],[Level (m)]],Relocation[],3,FALSE)</f>
        <v>0</v>
      </c>
      <c r="AK31" s="177" cm="1">
        <f t="array" ref="AK31">AWE*Res2I[[#This Row],[Adjusted Damage Index]]*Inputs!$C$38*Inputs!D$31+IF(Res2I[[#This Row],[Level (m)]]&gt;0,Cleanup,0)+VLOOKUP(Res2I[[#This Row],[Level (m)]],Relocation[],3,FALSE)</f>
        <v>0</v>
      </c>
      <c r="AL31" s="177" cm="1">
        <f t="array" ref="AL31">AWE*Res2I[[#This Row],[Adjusted Damage Index]]*Inputs!$C$38*Inputs!E$31+IF(Res2I[[#This Row],[Level (m)]]&gt;0,Cleanup,0)+VLOOKUP(Res2I[[#This Row],[Level (m)]],Relocation[],3,FALSE)</f>
        <v>0</v>
      </c>
      <c r="AM31" s="177" cm="1">
        <f t="array" ref="AM31">AWE*Res2I[[#This Row],[Adjusted Damage Index]]*Inputs!$C$38*Inputs!F$31+IF(Res2I[[#This Row],[Level (m)]]&gt;0,Cleanup,0)+VLOOKUP(Res2I[[#This Row],[Level (m)]],Relocation[],3,FALSE)</f>
        <v>0</v>
      </c>
    </row>
    <row r="32" spans="2:39" x14ac:dyDescent="0.3">
      <c r="C32" s="50">
        <v>-0.25</v>
      </c>
      <c r="D32" s="176">
        <v>2.5208333333333328E-3</v>
      </c>
      <c r="E32" s="176"/>
      <c r="F32" s="177" cm="1">
        <f t="array" ref="F32">AWE*Res1S[[#This Row],[Damage Index]]*Inputs!C$30*Inputs!C$25</f>
        <v>468.30589725036168</v>
      </c>
      <c r="G32" s="177" cm="1">
        <f t="array" ref="G32">AWE*Res1S[[#This Row],[Damage Index]]*Inputs!D$30*Inputs!D$25</f>
        <v>936.61179450072336</v>
      </c>
      <c r="H32" s="177" cm="1">
        <f t="array" ref="H32">AWE*Res1S[[#This Row],[Damage Index]]*Inputs!E$30*Inputs!E$25</f>
        <v>1248.8157260009646</v>
      </c>
      <c r="I32" s="177" cm="1">
        <f t="array" ref="I32">AWE*Res1S[[#This Row],[Damage Index]]*Inputs!F$30*Inputs!F$25</f>
        <v>1144.7477488342174</v>
      </c>
      <c r="M32" s="50">
        <v>-0.25</v>
      </c>
      <c r="N32" s="176">
        <v>1.3864583333333333E-3</v>
      </c>
      <c r="O32" s="176"/>
      <c r="P32" s="177" cm="1">
        <f t="array" ref="P32">AWE*Res2S[[#This Row],[Damage Index]]*Inputs!C$30*Inputs!C$25</f>
        <v>257.56824348769896</v>
      </c>
      <c r="Q32" s="177" cm="1">
        <f t="array" ref="Q32">AWE*Res2S[[#This Row],[Damage Index]]*Inputs!D$30*Inputs!D$25</f>
        <v>515.13648697539793</v>
      </c>
      <c r="R32" s="177" cm="1">
        <f t="array" ref="R32">AWE*Res2S[[#This Row],[Damage Index]]*Inputs!E$30*Inputs!E$25</f>
        <v>686.84864930053061</v>
      </c>
      <c r="S32" s="177" cm="1">
        <f t="array" ref="S32">AWE*Res2S[[#This Row],[Damage Index]]*Inputs!F$30*Inputs!F$25</f>
        <v>629.61126185881972</v>
      </c>
      <c r="W32" s="50">
        <v>-0.25</v>
      </c>
      <c r="X32" s="176">
        <v>0</v>
      </c>
      <c r="Y32" s="176" cm="1">
        <f t="array" ref="Y32">AWE*Res1I[[#This Row],[Damage Index]]*Actual_to_Potential</f>
        <v>0</v>
      </c>
      <c r="Z32" s="177" cm="1">
        <f t="array" ref="Z32">AWE*Res1I[[#This Row],[Adjusted Damage Index]]*Inputs!$C$38*Inputs!C$30+IF(Res1I[[#This Row],[Level (m)]]&gt;0,Cleanup,0)+VLOOKUP(Res1I[[#This Row],[Level (m)]],Relocation[],3,FALSE)</f>
        <v>0</v>
      </c>
      <c r="AA32" s="177" cm="1">
        <f t="array" ref="AA32">AWE*Res1I[[#This Row],[Adjusted Damage Index]]*Inputs!$C$38*Inputs!D$30+IF(Res1I[[#This Row],[Level (m)]]&gt;0,Cleanup,0)+VLOOKUP(Res1I[[#This Row],[Level (m)]],Relocation[],3,FALSE)</f>
        <v>0</v>
      </c>
      <c r="AB32" s="177" cm="1">
        <f t="array" ref="AB32">AWE*Res1I[[#This Row],[Adjusted Damage Index]]*Inputs!$C$38*Inputs!E$30+IF(Res1I[[#This Row],[Level (m)]]&gt;0,Cleanup,0)+VLOOKUP(Res1I[[#This Row],[Level (m)]],Relocation[],3,FALSE)</f>
        <v>0</v>
      </c>
      <c r="AC32" s="177" cm="1">
        <f t="array" ref="AC32">AWE*Res1I[[#This Row],[Adjusted Damage Index]]*Inputs!$C$38*Inputs!F$30+IF(Res1I[[#This Row],[Level (m)]]&gt;0,Cleanup,0)+VLOOKUP(Res1I[[#This Row],[Level (m)]],Relocation[],3,FALSE)</f>
        <v>0</v>
      </c>
      <c r="AG32" s="50">
        <v>-0.25</v>
      </c>
      <c r="AH32" s="176">
        <v>0</v>
      </c>
      <c r="AI32" s="176" cm="1">
        <f t="array" ref="AI32">AWE*Res2I[[#This Row],[Damage Index]]*Actual_to_Potential</f>
        <v>0</v>
      </c>
      <c r="AJ32" s="177" cm="1">
        <f t="array" ref="AJ32">AWE*Res2I[[#This Row],[Adjusted Damage Index]]*Inputs!$C$38*Inputs!C$31+IF(Res2I[[#This Row],[Level (m)]]&gt;0,Cleanup,0)+VLOOKUP(Res2I[[#This Row],[Level (m)]],Relocation[],3,FALSE)</f>
        <v>0</v>
      </c>
      <c r="AK32" s="177" cm="1">
        <f t="array" ref="AK32">AWE*Res2I[[#This Row],[Adjusted Damage Index]]*Inputs!$C$38*Inputs!D$31+IF(Res2I[[#This Row],[Level (m)]]&gt;0,Cleanup,0)+VLOOKUP(Res2I[[#This Row],[Level (m)]],Relocation[],3,FALSE)</f>
        <v>0</v>
      </c>
      <c r="AL32" s="177" cm="1">
        <f t="array" ref="AL32">AWE*Res2I[[#This Row],[Adjusted Damage Index]]*Inputs!$C$38*Inputs!E$31+IF(Res2I[[#This Row],[Level (m)]]&gt;0,Cleanup,0)+VLOOKUP(Res2I[[#This Row],[Level (m)]],Relocation[],3,FALSE)</f>
        <v>0</v>
      </c>
      <c r="AM32" s="177" cm="1">
        <f t="array" ref="AM32">AWE*Res2I[[#This Row],[Adjusted Damage Index]]*Inputs!$C$38*Inputs!F$31+IF(Res2I[[#This Row],[Level (m)]]&gt;0,Cleanup,0)+VLOOKUP(Res2I[[#This Row],[Level (m)]],Relocation[],3,FALSE)</f>
        <v>0</v>
      </c>
    </row>
    <row r="33" spans="3:39" x14ac:dyDescent="0.3">
      <c r="C33" s="50">
        <v>-0.2</v>
      </c>
      <c r="D33" s="176">
        <v>5.0416666666666657E-3</v>
      </c>
      <c r="E33" s="176"/>
      <c r="F33" s="177" cm="1">
        <f t="array" ref="F33">AWE*Res1S[[#This Row],[Damage Index]]*Inputs!C$30*Inputs!C$25</f>
        <v>936.61179450072336</v>
      </c>
      <c r="G33" s="177" cm="1">
        <f t="array" ref="G33">AWE*Res1S[[#This Row],[Damage Index]]*Inputs!D$30*Inputs!D$25</f>
        <v>1873.2235890014467</v>
      </c>
      <c r="H33" s="177" cm="1">
        <f t="array" ref="H33">AWE*Res1S[[#This Row],[Damage Index]]*Inputs!E$30*Inputs!E$25</f>
        <v>2497.6314520019291</v>
      </c>
      <c r="I33" s="177" cm="1">
        <f t="array" ref="I33">AWE*Res1S[[#This Row],[Damage Index]]*Inputs!F$30*Inputs!F$25</f>
        <v>2289.4954976684348</v>
      </c>
      <c r="M33" s="50">
        <v>-0.2</v>
      </c>
      <c r="N33" s="176">
        <v>2.7729166666666666E-3</v>
      </c>
      <c r="O33" s="176"/>
      <c r="P33" s="177" cm="1">
        <f t="array" ref="P33">AWE*Res2S[[#This Row],[Damage Index]]*Inputs!C$30*Inputs!C$25</f>
        <v>515.13648697539793</v>
      </c>
      <c r="Q33" s="177" cm="1">
        <f t="array" ref="Q33">AWE*Res2S[[#This Row],[Damage Index]]*Inputs!D$30*Inputs!D$25</f>
        <v>1030.2729739507959</v>
      </c>
      <c r="R33" s="177" cm="1">
        <f t="array" ref="R33">AWE*Res2S[[#This Row],[Damage Index]]*Inputs!E$30*Inputs!E$25</f>
        <v>1373.6972986010612</v>
      </c>
      <c r="S33" s="177" cm="1">
        <f t="array" ref="S33">AWE*Res2S[[#This Row],[Damage Index]]*Inputs!F$30*Inputs!F$25</f>
        <v>1259.2225237176394</v>
      </c>
      <c r="W33" s="50">
        <v>-0.2</v>
      </c>
      <c r="X33" s="176">
        <v>0</v>
      </c>
      <c r="Y33" s="176" cm="1">
        <f t="array" ref="Y33">AWE*Res1I[[#This Row],[Damage Index]]*Actual_to_Potential</f>
        <v>0</v>
      </c>
      <c r="Z33" s="177" cm="1">
        <f t="array" ref="Z33">AWE*Res1I[[#This Row],[Adjusted Damage Index]]*Inputs!$C$38*Inputs!C$30+IF(Res1I[[#This Row],[Level (m)]]&gt;0,Cleanup,0)+VLOOKUP(Res1I[[#This Row],[Level (m)]],Relocation[],3,FALSE)</f>
        <v>0</v>
      </c>
      <c r="AA33" s="177" cm="1">
        <f t="array" ref="AA33">AWE*Res1I[[#This Row],[Adjusted Damage Index]]*Inputs!$C$38*Inputs!D$30+IF(Res1I[[#This Row],[Level (m)]]&gt;0,Cleanup,0)+VLOOKUP(Res1I[[#This Row],[Level (m)]],Relocation[],3,FALSE)</f>
        <v>0</v>
      </c>
      <c r="AB33" s="177" cm="1">
        <f t="array" ref="AB33">AWE*Res1I[[#This Row],[Adjusted Damage Index]]*Inputs!$C$38*Inputs!E$30+IF(Res1I[[#This Row],[Level (m)]]&gt;0,Cleanup,0)+VLOOKUP(Res1I[[#This Row],[Level (m)]],Relocation[],3,FALSE)</f>
        <v>0</v>
      </c>
      <c r="AC33" s="177" cm="1">
        <f t="array" ref="AC33">AWE*Res1I[[#This Row],[Adjusted Damage Index]]*Inputs!$C$38*Inputs!F$30+IF(Res1I[[#This Row],[Level (m)]]&gt;0,Cleanup,0)+VLOOKUP(Res1I[[#This Row],[Level (m)]],Relocation[],3,FALSE)</f>
        <v>0</v>
      </c>
      <c r="AG33" s="50">
        <v>-0.2</v>
      </c>
      <c r="AH33" s="176">
        <v>0</v>
      </c>
      <c r="AI33" s="176" cm="1">
        <f t="array" ref="AI33">AWE*Res2I[[#This Row],[Damage Index]]*Actual_to_Potential</f>
        <v>0</v>
      </c>
      <c r="AJ33" s="177" cm="1">
        <f t="array" ref="AJ33">AWE*Res2I[[#This Row],[Adjusted Damage Index]]*Inputs!$C$38*Inputs!C$31+IF(Res2I[[#This Row],[Level (m)]]&gt;0,Cleanup,0)+VLOOKUP(Res2I[[#This Row],[Level (m)]],Relocation[],3,FALSE)</f>
        <v>0</v>
      </c>
      <c r="AK33" s="177" cm="1">
        <f t="array" ref="AK33">AWE*Res2I[[#This Row],[Adjusted Damage Index]]*Inputs!$C$38*Inputs!D$31+IF(Res2I[[#This Row],[Level (m)]]&gt;0,Cleanup,0)+VLOOKUP(Res2I[[#This Row],[Level (m)]],Relocation[],3,FALSE)</f>
        <v>0</v>
      </c>
      <c r="AL33" s="177" cm="1">
        <f t="array" ref="AL33">AWE*Res2I[[#This Row],[Adjusted Damage Index]]*Inputs!$C$38*Inputs!E$31+IF(Res2I[[#This Row],[Level (m)]]&gt;0,Cleanup,0)+VLOOKUP(Res2I[[#This Row],[Level (m)]],Relocation[],3,FALSE)</f>
        <v>0</v>
      </c>
      <c r="AM33" s="177" cm="1">
        <f t="array" ref="AM33">AWE*Res2I[[#This Row],[Adjusted Damage Index]]*Inputs!$C$38*Inputs!F$31+IF(Res2I[[#This Row],[Level (m)]]&gt;0,Cleanup,0)+VLOOKUP(Res2I[[#This Row],[Level (m)]],Relocation[],3,FALSE)</f>
        <v>0</v>
      </c>
    </row>
    <row r="34" spans="3:39" x14ac:dyDescent="0.3">
      <c r="C34" s="50">
        <v>-0.15</v>
      </c>
      <c r="D34" s="176">
        <v>7.5624999999999998E-3</v>
      </c>
      <c r="E34" s="176"/>
      <c r="F34" s="177" cm="1">
        <f t="array" ref="F34">AWE*Res1S[[#This Row],[Damage Index]]*Inputs!C$30*Inputs!C$25</f>
        <v>1404.9176917510854</v>
      </c>
      <c r="G34" s="177" cm="1">
        <f t="array" ref="G34">AWE*Res1S[[#This Row],[Damage Index]]*Inputs!D$30*Inputs!D$25</f>
        <v>2809.8353835021708</v>
      </c>
      <c r="H34" s="177" cm="1">
        <f t="array" ref="H34">AWE*Res1S[[#This Row],[Damage Index]]*Inputs!E$30*Inputs!E$25</f>
        <v>3746.4471780028939</v>
      </c>
      <c r="I34" s="177" cm="1">
        <f t="array" ref="I34">AWE*Res1S[[#This Row],[Damage Index]]*Inputs!F$30*Inputs!F$25</f>
        <v>3434.2432465026527</v>
      </c>
      <c r="M34" s="50">
        <v>-0.15</v>
      </c>
      <c r="N34" s="176">
        <v>4.1593750000000007E-3</v>
      </c>
      <c r="O34" s="176"/>
      <c r="P34" s="177" cm="1">
        <f t="array" ref="P34">AWE*Res2S[[#This Row],[Damage Index]]*Inputs!C$30*Inputs!C$25</f>
        <v>772.70473046309712</v>
      </c>
      <c r="Q34" s="177" cm="1">
        <f t="array" ref="Q34">AWE*Res2S[[#This Row],[Damage Index]]*Inputs!D$30*Inputs!D$25</f>
        <v>1545.4094609261942</v>
      </c>
      <c r="R34" s="177" cm="1">
        <f t="array" ref="R34">AWE*Res2S[[#This Row],[Damage Index]]*Inputs!E$30*Inputs!E$25</f>
        <v>2060.5459479015922</v>
      </c>
      <c r="S34" s="177" cm="1">
        <f t="array" ref="S34">AWE*Res2S[[#This Row],[Damage Index]]*Inputs!F$30*Inputs!F$25</f>
        <v>1888.8337855764596</v>
      </c>
      <c r="W34" s="50">
        <v>-0.15</v>
      </c>
      <c r="X34" s="176">
        <v>0</v>
      </c>
      <c r="Y34" s="176" cm="1">
        <f t="array" ref="Y34">AWE*Res1I[[#This Row],[Damage Index]]*Actual_to_Potential</f>
        <v>0</v>
      </c>
      <c r="Z34" s="177" cm="1">
        <f t="array" ref="Z34">AWE*Res1I[[#This Row],[Adjusted Damage Index]]*Inputs!$C$38*Inputs!C$30+IF(Res1I[[#This Row],[Level (m)]]&gt;0,Cleanup,0)+VLOOKUP(Res1I[[#This Row],[Level (m)]],Relocation[],3,FALSE)</f>
        <v>0</v>
      </c>
      <c r="AA34" s="177" cm="1">
        <f t="array" ref="AA34">AWE*Res1I[[#This Row],[Adjusted Damage Index]]*Inputs!$C$38*Inputs!D$30+IF(Res1I[[#This Row],[Level (m)]]&gt;0,Cleanup,0)+VLOOKUP(Res1I[[#This Row],[Level (m)]],Relocation[],3,FALSE)</f>
        <v>0</v>
      </c>
      <c r="AB34" s="177" cm="1">
        <f t="array" ref="AB34">AWE*Res1I[[#This Row],[Adjusted Damage Index]]*Inputs!$C$38*Inputs!E$30+IF(Res1I[[#This Row],[Level (m)]]&gt;0,Cleanup,0)+VLOOKUP(Res1I[[#This Row],[Level (m)]],Relocation[],3,FALSE)</f>
        <v>0</v>
      </c>
      <c r="AC34" s="177" cm="1">
        <f t="array" ref="AC34">AWE*Res1I[[#This Row],[Adjusted Damage Index]]*Inputs!$C$38*Inputs!F$30+IF(Res1I[[#This Row],[Level (m)]]&gt;0,Cleanup,0)+VLOOKUP(Res1I[[#This Row],[Level (m)]],Relocation[],3,FALSE)</f>
        <v>0</v>
      </c>
      <c r="AG34" s="50">
        <v>-0.15</v>
      </c>
      <c r="AH34" s="176">
        <v>0</v>
      </c>
      <c r="AI34" s="176" cm="1">
        <f t="array" ref="AI34">AWE*Res2I[[#This Row],[Damage Index]]*Actual_to_Potential</f>
        <v>0</v>
      </c>
      <c r="AJ34" s="177" cm="1">
        <f t="array" ref="AJ34">AWE*Res2I[[#This Row],[Adjusted Damage Index]]*Inputs!$C$38*Inputs!C$31+IF(Res2I[[#This Row],[Level (m)]]&gt;0,Cleanup,0)+VLOOKUP(Res2I[[#This Row],[Level (m)]],Relocation[],3,FALSE)</f>
        <v>0</v>
      </c>
      <c r="AK34" s="177" cm="1">
        <f t="array" ref="AK34">AWE*Res2I[[#This Row],[Adjusted Damage Index]]*Inputs!$C$38*Inputs!D$31+IF(Res2I[[#This Row],[Level (m)]]&gt;0,Cleanup,0)+VLOOKUP(Res2I[[#This Row],[Level (m)]],Relocation[],3,FALSE)</f>
        <v>0</v>
      </c>
      <c r="AL34" s="177" cm="1">
        <f t="array" ref="AL34">AWE*Res2I[[#This Row],[Adjusted Damage Index]]*Inputs!$C$38*Inputs!E$31+IF(Res2I[[#This Row],[Level (m)]]&gt;0,Cleanup,0)+VLOOKUP(Res2I[[#This Row],[Level (m)]],Relocation[],3,FALSE)</f>
        <v>0</v>
      </c>
      <c r="AM34" s="177" cm="1">
        <f t="array" ref="AM34">AWE*Res2I[[#This Row],[Adjusted Damage Index]]*Inputs!$C$38*Inputs!F$31+IF(Res2I[[#This Row],[Level (m)]]&gt;0,Cleanup,0)+VLOOKUP(Res2I[[#This Row],[Level (m)]],Relocation[],3,FALSE)</f>
        <v>0</v>
      </c>
    </row>
    <row r="35" spans="3:39" x14ac:dyDescent="0.3">
      <c r="C35" s="50">
        <v>-0.1</v>
      </c>
      <c r="D35" s="176">
        <v>1.0083333333333333E-2</v>
      </c>
      <c r="E35" s="176"/>
      <c r="F35" s="177" cm="1">
        <f t="array" ref="F35">AWE*Res1S[[#This Row],[Damage Index]]*Inputs!C$30*Inputs!C$25</f>
        <v>1873.223589001447</v>
      </c>
      <c r="G35" s="177" cm="1">
        <f t="array" ref="G35">AWE*Res1S[[#This Row],[Damage Index]]*Inputs!D$30*Inputs!D$25</f>
        <v>3746.4471780028939</v>
      </c>
      <c r="H35" s="177" cm="1">
        <f t="array" ref="H35">AWE*Res1S[[#This Row],[Damage Index]]*Inputs!E$30*Inputs!E$25</f>
        <v>4995.2629040038591</v>
      </c>
      <c r="I35" s="177" cm="1">
        <f t="array" ref="I35">AWE*Res1S[[#This Row],[Damage Index]]*Inputs!F$30*Inputs!F$25</f>
        <v>4578.9909953368706</v>
      </c>
      <c r="M35" s="50">
        <v>-0.1</v>
      </c>
      <c r="N35" s="176">
        <v>5.545833333333334E-3</v>
      </c>
      <c r="O35" s="176"/>
      <c r="P35" s="177" cm="1">
        <f t="array" ref="P35">AWE*Res2S[[#This Row],[Damage Index]]*Inputs!C$30*Inputs!C$25</f>
        <v>1030.2729739507961</v>
      </c>
      <c r="Q35" s="177" cm="1">
        <f t="array" ref="Q35">AWE*Res2S[[#This Row],[Damage Index]]*Inputs!D$30*Inputs!D$25</f>
        <v>2060.5459479015922</v>
      </c>
      <c r="R35" s="177" cm="1">
        <f t="array" ref="R35">AWE*Res2S[[#This Row],[Damage Index]]*Inputs!E$30*Inputs!E$25</f>
        <v>2747.3945972021229</v>
      </c>
      <c r="S35" s="177" cm="1">
        <f t="array" ref="S35">AWE*Res2S[[#This Row],[Damage Index]]*Inputs!F$30*Inputs!F$25</f>
        <v>2518.4450474352789</v>
      </c>
      <c r="W35" s="50">
        <v>-0.1</v>
      </c>
      <c r="X35" s="176">
        <v>0</v>
      </c>
      <c r="Y35" s="176" cm="1">
        <f t="array" ref="Y35">AWE*Res1I[[#This Row],[Damage Index]]*Actual_to_Potential</f>
        <v>0</v>
      </c>
      <c r="Z35" s="177" cm="1">
        <f t="array" ref="Z35">AWE*Res1I[[#This Row],[Adjusted Damage Index]]*Inputs!$C$38*Inputs!C$30+IF(Res1I[[#This Row],[Level (m)]]&gt;0,Cleanup,0)+VLOOKUP(Res1I[[#This Row],[Level (m)]],Relocation[],3,FALSE)</f>
        <v>0</v>
      </c>
      <c r="AA35" s="177" cm="1">
        <f t="array" ref="AA35">AWE*Res1I[[#This Row],[Adjusted Damage Index]]*Inputs!$C$38*Inputs!D$30+IF(Res1I[[#This Row],[Level (m)]]&gt;0,Cleanup,0)+VLOOKUP(Res1I[[#This Row],[Level (m)]],Relocation[],3,FALSE)</f>
        <v>0</v>
      </c>
      <c r="AB35" s="177" cm="1">
        <f t="array" ref="AB35">AWE*Res1I[[#This Row],[Adjusted Damage Index]]*Inputs!$C$38*Inputs!E$30+IF(Res1I[[#This Row],[Level (m)]]&gt;0,Cleanup,0)+VLOOKUP(Res1I[[#This Row],[Level (m)]],Relocation[],3,FALSE)</f>
        <v>0</v>
      </c>
      <c r="AC35" s="177" cm="1">
        <f t="array" ref="AC35">AWE*Res1I[[#This Row],[Adjusted Damage Index]]*Inputs!$C$38*Inputs!F$30+IF(Res1I[[#This Row],[Level (m)]]&gt;0,Cleanup,0)+VLOOKUP(Res1I[[#This Row],[Level (m)]],Relocation[],3,FALSE)</f>
        <v>0</v>
      </c>
      <c r="AG35" s="50">
        <v>-0.1</v>
      </c>
      <c r="AH35" s="176">
        <v>0</v>
      </c>
      <c r="AI35" s="176" cm="1">
        <f t="array" ref="AI35">AWE*Res2I[[#This Row],[Damage Index]]*Actual_to_Potential</f>
        <v>0</v>
      </c>
      <c r="AJ35" s="177" cm="1">
        <f t="array" ref="AJ35">AWE*Res2I[[#This Row],[Adjusted Damage Index]]*Inputs!$C$38*Inputs!C$31+IF(Res2I[[#This Row],[Level (m)]]&gt;0,Cleanup,0)+VLOOKUP(Res2I[[#This Row],[Level (m)]],Relocation[],3,FALSE)</f>
        <v>0</v>
      </c>
      <c r="AK35" s="177" cm="1">
        <f t="array" ref="AK35">AWE*Res2I[[#This Row],[Adjusted Damage Index]]*Inputs!$C$38*Inputs!D$31+IF(Res2I[[#This Row],[Level (m)]]&gt;0,Cleanup,0)+VLOOKUP(Res2I[[#This Row],[Level (m)]],Relocation[],3,FALSE)</f>
        <v>0</v>
      </c>
      <c r="AL35" s="177" cm="1">
        <f t="array" ref="AL35">AWE*Res2I[[#This Row],[Adjusted Damage Index]]*Inputs!$C$38*Inputs!E$31+IF(Res2I[[#This Row],[Level (m)]]&gt;0,Cleanup,0)+VLOOKUP(Res2I[[#This Row],[Level (m)]],Relocation[],3,FALSE)</f>
        <v>0</v>
      </c>
      <c r="AM35" s="177" cm="1">
        <f t="array" ref="AM35">AWE*Res2I[[#This Row],[Adjusted Damage Index]]*Inputs!$C$38*Inputs!F$31+IF(Res2I[[#This Row],[Level (m)]]&gt;0,Cleanup,0)+VLOOKUP(Res2I[[#This Row],[Level (m)]],Relocation[],3,FALSE)</f>
        <v>0</v>
      </c>
    </row>
    <row r="36" spans="3:39" x14ac:dyDescent="0.3">
      <c r="C36" s="50">
        <v>-0.05</v>
      </c>
      <c r="D36" s="176">
        <v>1.2604166666666668E-2</v>
      </c>
      <c r="E36" s="176"/>
      <c r="F36" s="177" cm="1">
        <f t="array" ref="F36">AWE*Res1S[[#This Row],[Damage Index]]*Inputs!C$30*Inputs!C$25</f>
        <v>2341.529486251809</v>
      </c>
      <c r="G36" s="177" cm="1">
        <f t="array" ref="G36">AWE*Res1S[[#This Row],[Damage Index]]*Inputs!D$30*Inputs!D$25</f>
        <v>4683.058972503618</v>
      </c>
      <c r="H36" s="177" cm="1">
        <f t="array" ref="H36">AWE*Res1S[[#This Row],[Damage Index]]*Inputs!E$30*Inputs!E$25</f>
        <v>6244.0786300048239</v>
      </c>
      <c r="I36" s="177" cm="1">
        <f t="array" ref="I36">AWE*Res1S[[#This Row],[Damage Index]]*Inputs!F$30*Inputs!F$25</f>
        <v>5723.738744171088</v>
      </c>
      <c r="M36" s="50">
        <v>-0.05</v>
      </c>
      <c r="N36" s="176">
        <v>6.9322916666666682E-3</v>
      </c>
      <c r="O36" s="176"/>
      <c r="P36" s="177" cm="1">
        <f t="array" ref="P36">AWE*Res2S[[#This Row],[Damage Index]]*Inputs!C$30*Inputs!C$25</f>
        <v>1287.8412174384953</v>
      </c>
      <c r="Q36" s="177" cm="1">
        <f t="array" ref="Q36">AWE*Res2S[[#This Row],[Damage Index]]*Inputs!D$30*Inputs!D$25</f>
        <v>2575.6824348769906</v>
      </c>
      <c r="R36" s="177" cm="1">
        <f t="array" ref="R36">AWE*Res2S[[#This Row],[Damage Index]]*Inputs!E$30*Inputs!E$25</f>
        <v>3434.2432465026536</v>
      </c>
      <c r="S36" s="177" cm="1">
        <f t="array" ref="S36">AWE*Res2S[[#This Row],[Damage Index]]*Inputs!F$30*Inputs!F$25</f>
        <v>3148.0563092940993</v>
      </c>
      <c r="W36" s="50">
        <v>-0.05</v>
      </c>
      <c r="X36" s="176">
        <v>0</v>
      </c>
      <c r="Y36" s="176" cm="1">
        <f t="array" ref="Y36">AWE*Res1I[[#This Row],[Damage Index]]*Actual_to_Potential</f>
        <v>0</v>
      </c>
      <c r="Z36" s="177" cm="1">
        <f t="array" ref="Z36">AWE*Res1I[[#This Row],[Adjusted Damage Index]]*Inputs!$C$38*Inputs!C$30+IF(Res1I[[#This Row],[Level (m)]]&gt;0,Cleanup,0)+VLOOKUP(Res1I[[#This Row],[Level (m)]],Relocation[],3,FALSE)</f>
        <v>0</v>
      </c>
      <c r="AA36" s="177" cm="1">
        <f t="array" ref="AA36">AWE*Res1I[[#This Row],[Adjusted Damage Index]]*Inputs!$C$38*Inputs!D$30+IF(Res1I[[#This Row],[Level (m)]]&gt;0,Cleanup,0)+VLOOKUP(Res1I[[#This Row],[Level (m)]],Relocation[],3,FALSE)</f>
        <v>0</v>
      </c>
      <c r="AB36" s="177" cm="1">
        <f t="array" ref="AB36">AWE*Res1I[[#This Row],[Adjusted Damage Index]]*Inputs!$C$38*Inputs!E$30+IF(Res1I[[#This Row],[Level (m)]]&gt;0,Cleanup,0)+VLOOKUP(Res1I[[#This Row],[Level (m)]],Relocation[],3,FALSE)</f>
        <v>0</v>
      </c>
      <c r="AC36" s="177" cm="1">
        <f t="array" ref="AC36">AWE*Res1I[[#This Row],[Adjusted Damage Index]]*Inputs!$C$38*Inputs!F$30+IF(Res1I[[#This Row],[Level (m)]]&gt;0,Cleanup,0)+VLOOKUP(Res1I[[#This Row],[Level (m)]],Relocation[],3,FALSE)</f>
        <v>0</v>
      </c>
      <c r="AG36" s="50">
        <v>-0.05</v>
      </c>
      <c r="AH36" s="176">
        <v>0</v>
      </c>
      <c r="AI36" s="176" cm="1">
        <f t="array" ref="AI36">AWE*Res2I[[#This Row],[Damage Index]]*Actual_to_Potential</f>
        <v>0</v>
      </c>
      <c r="AJ36" s="177" cm="1">
        <f t="array" ref="AJ36">AWE*Res2I[[#This Row],[Adjusted Damage Index]]*Inputs!$C$38*Inputs!C$31+IF(Res2I[[#This Row],[Level (m)]]&gt;0,Cleanup,0)+VLOOKUP(Res2I[[#This Row],[Level (m)]],Relocation[],3,FALSE)</f>
        <v>0</v>
      </c>
      <c r="AK36" s="177" cm="1">
        <f t="array" ref="AK36">AWE*Res2I[[#This Row],[Adjusted Damage Index]]*Inputs!$C$38*Inputs!D$31+IF(Res2I[[#This Row],[Level (m)]]&gt;0,Cleanup,0)+VLOOKUP(Res2I[[#This Row],[Level (m)]],Relocation[],3,FALSE)</f>
        <v>0</v>
      </c>
      <c r="AL36" s="177" cm="1">
        <f t="array" ref="AL36">AWE*Res2I[[#This Row],[Adjusted Damage Index]]*Inputs!$C$38*Inputs!E$31+IF(Res2I[[#This Row],[Level (m)]]&gt;0,Cleanup,0)+VLOOKUP(Res2I[[#This Row],[Level (m)]],Relocation[],3,FALSE)</f>
        <v>0</v>
      </c>
      <c r="AM36" s="177" cm="1">
        <f t="array" ref="AM36">AWE*Res2I[[#This Row],[Adjusted Damage Index]]*Inputs!$C$38*Inputs!F$31+IF(Res2I[[#This Row],[Level (m)]]&gt;0,Cleanup,0)+VLOOKUP(Res2I[[#This Row],[Level (m)]],Relocation[],3,FALSE)</f>
        <v>0</v>
      </c>
    </row>
    <row r="37" spans="3:39" x14ac:dyDescent="0.3">
      <c r="C37" s="50">
        <v>0</v>
      </c>
      <c r="D37" s="176">
        <v>1.5125000000000001E-2</v>
      </c>
      <c r="E37" s="176"/>
      <c r="F37" s="177" cm="1">
        <f t="array" ref="F37">AWE*Res1S[[#This Row],[Damage Index]]*Inputs!C$30*Inputs!C$25</f>
        <v>2809.8353835021708</v>
      </c>
      <c r="G37" s="177" cm="1">
        <f t="array" ref="G37">AWE*Res1S[[#This Row],[Damage Index]]*Inputs!D$30*Inputs!D$25</f>
        <v>5619.6707670043415</v>
      </c>
      <c r="H37" s="177" cm="1">
        <f t="array" ref="H37">AWE*Res1S[[#This Row],[Damage Index]]*Inputs!E$30*Inputs!E$25</f>
        <v>7492.8943560057887</v>
      </c>
      <c r="I37" s="177" cm="1">
        <f t="array" ref="I37">AWE*Res1S[[#This Row],[Damage Index]]*Inputs!F$30*Inputs!F$25</f>
        <v>6868.4864930053063</v>
      </c>
      <c r="M37" s="50">
        <v>0</v>
      </c>
      <c r="N37" s="176">
        <v>8.3187500000000015E-3</v>
      </c>
      <c r="O37" s="176"/>
      <c r="P37" s="177" cm="1">
        <f t="array" ref="P37">AWE*Res2S[[#This Row],[Damage Index]]*Inputs!C$30*Inputs!C$25</f>
        <v>1545.4094609261942</v>
      </c>
      <c r="Q37" s="177" cm="1">
        <f t="array" ref="Q37">AWE*Res2S[[#This Row],[Damage Index]]*Inputs!D$30*Inputs!D$25</f>
        <v>3090.8189218523885</v>
      </c>
      <c r="R37" s="177" cm="1">
        <f t="array" ref="R37">AWE*Res2S[[#This Row],[Damage Index]]*Inputs!E$30*Inputs!E$25</f>
        <v>4121.0918958031843</v>
      </c>
      <c r="S37" s="177" cm="1">
        <f t="array" ref="S37">AWE*Res2S[[#This Row],[Damage Index]]*Inputs!F$30*Inputs!F$25</f>
        <v>3777.6675711529192</v>
      </c>
      <c r="W37" s="50">
        <v>0</v>
      </c>
      <c r="X37" s="176">
        <v>0</v>
      </c>
      <c r="Y37" s="176" cm="1">
        <f t="array" ref="Y37">AWE*Res1I[[#This Row],[Damage Index]]*Actual_to_Potential</f>
        <v>0</v>
      </c>
      <c r="Z37" s="177" cm="1">
        <f t="array" ref="Z37">AWE*Res1I[[#This Row],[Adjusted Damage Index]]*Inputs!$C$38*Inputs!C$30+IF(Res1I[[#This Row],[Level (m)]]&gt;0,Cleanup,0)+VLOOKUP(Res1I[[#This Row],[Level (m)]],Relocation[],3,FALSE)</f>
        <v>0</v>
      </c>
      <c r="AA37" s="177" cm="1">
        <f t="array" ref="AA37">AWE*Res1I[[#This Row],[Adjusted Damage Index]]*Inputs!$C$38*Inputs!D$30+IF(Res1I[[#This Row],[Level (m)]]&gt;0,Cleanup,0)+VLOOKUP(Res1I[[#This Row],[Level (m)]],Relocation[],3,FALSE)</f>
        <v>0</v>
      </c>
      <c r="AB37" s="177" cm="1">
        <f t="array" ref="AB37">AWE*Res1I[[#This Row],[Adjusted Damage Index]]*Inputs!$C$38*Inputs!E$30+IF(Res1I[[#This Row],[Level (m)]]&gt;0,Cleanup,0)+VLOOKUP(Res1I[[#This Row],[Level (m)]],Relocation[],3,FALSE)</f>
        <v>0</v>
      </c>
      <c r="AC37" s="177" cm="1">
        <f t="array" ref="AC37">AWE*Res1I[[#This Row],[Adjusted Damage Index]]*Inputs!$C$38*Inputs!F$30+IF(Res1I[[#This Row],[Level (m)]]&gt;0,Cleanup,0)+VLOOKUP(Res1I[[#This Row],[Level (m)]],Relocation[],3,FALSE)</f>
        <v>0</v>
      </c>
      <c r="AG37" s="50">
        <v>0</v>
      </c>
      <c r="AH37" s="176">
        <v>0</v>
      </c>
      <c r="AI37" s="176" cm="1">
        <f t="array" ref="AI37">AWE*Res2I[[#This Row],[Damage Index]]*Actual_to_Potential</f>
        <v>0</v>
      </c>
      <c r="AJ37" s="177" cm="1">
        <f t="array" ref="AJ37">AWE*Res2I[[#This Row],[Adjusted Damage Index]]*Inputs!$C$38*Inputs!C$31+IF(Res2I[[#This Row],[Level (m)]]&gt;0,Cleanup,0)+VLOOKUP(Res2I[[#This Row],[Level (m)]],Relocation[],3,FALSE)</f>
        <v>0</v>
      </c>
      <c r="AK37" s="177" cm="1">
        <f t="array" ref="AK37">AWE*Res2I[[#This Row],[Adjusted Damage Index]]*Inputs!$C$38*Inputs!D$31+IF(Res2I[[#This Row],[Level (m)]]&gt;0,Cleanup,0)+VLOOKUP(Res2I[[#This Row],[Level (m)]],Relocation[],3,FALSE)</f>
        <v>0</v>
      </c>
      <c r="AL37" s="177" cm="1">
        <f t="array" ref="AL37">AWE*Res2I[[#This Row],[Adjusted Damage Index]]*Inputs!$C$38*Inputs!E$31+IF(Res2I[[#This Row],[Level (m)]]&gt;0,Cleanup,0)+VLOOKUP(Res2I[[#This Row],[Level (m)]],Relocation[],3,FALSE)</f>
        <v>0</v>
      </c>
      <c r="AM37" s="177" cm="1">
        <f t="array" ref="AM37">AWE*Res2I[[#This Row],[Adjusted Damage Index]]*Inputs!$C$38*Inputs!F$31+IF(Res2I[[#This Row],[Level (m)]]&gt;0,Cleanup,0)+VLOOKUP(Res2I[[#This Row],[Level (m)]],Relocation[],3,FALSE)</f>
        <v>0</v>
      </c>
    </row>
    <row r="38" spans="3:39" x14ac:dyDescent="0.3">
      <c r="C38" s="50">
        <v>0.05</v>
      </c>
      <c r="D38" s="176">
        <v>0.10770833333333335</v>
      </c>
      <c r="E38" s="176"/>
      <c r="F38" s="177" cm="1">
        <f t="array" ref="F38">AWE*Res1S[[#This Row],[Damage Index]]*Inputs!C$30*Inputs!C$25</f>
        <v>20009.433791606371</v>
      </c>
      <c r="G38" s="177" cm="1">
        <f t="array" ref="G38">AWE*Res1S[[#This Row],[Damage Index]]*Inputs!D$30*Inputs!D$25</f>
        <v>40018.867583212741</v>
      </c>
      <c r="H38" s="177" cm="1">
        <f t="array" ref="H38">AWE*Res1S[[#This Row],[Damage Index]]*Inputs!E$30*Inputs!E$25</f>
        <v>53358.490110950312</v>
      </c>
      <c r="I38" s="177" cm="1">
        <f t="array" ref="I38">AWE*Res1S[[#This Row],[Damage Index]]*Inputs!F$30*Inputs!F$25</f>
        <v>48911.949268371121</v>
      </c>
      <c r="M38" s="50">
        <v>0.05</v>
      </c>
      <c r="N38" s="176">
        <v>5.9239583333333345E-2</v>
      </c>
      <c r="O38" s="176"/>
      <c r="P38" s="177" cm="1">
        <f t="array" ref="P38">AWE*Res2S[[#This Row],[Damage Index]]*Inputs!C$30*Inputs!C$25</f>
        <v>11005.188585383505</v>
      </c>
      <c r="Q38" s="177" cm="1">
        <f t="array" ref="Q38">AWE*Res2S[[#This Row],[Damage Index]]*Inputs!D$30*Inputs!D$25</f>
        <v>22010.377170767009</v>
      </c>
      <c r="R38" s="177" cm="1">
        <f t="array" ref="R38">AWE*Res2S[[#This Row],[Damage Index]]*Inputs!E$30*Inputs!E$25</f>
        <v>29347.169561022678</v>
      </c>
      <c r="S38" s="177" cm="1">
        <f t="array" ref="S38">AWE*Res2S[[#This Row],[Damage Index]]*Inputs!F$30*Inputs!F$25</f>
        <v>26901.572097604119</v>
      </c>
      <c r="W38" s="50">
        <v>0.05</v>
      </c>
      <c r="X38" s="176">
        <v>8.9054696431794936E-2</v>
      </c>
      <c r="Y38" s="176" cm="1">
        <f t="array" ref="Y38">AWE*Res1I[[#This Row],[Damage Index]]*Actual_to_Potential</f>
        <v>8.2720342843339484E-2</v>
      </c>
      <c r="Z38" s="177" cm="1">
        <f t="array" ref="Z38">AWE*Res1I[[#This Row],[Adjusted Damage Index]]*Inputs!$C$38*Inputs!C$30+IF(Res1I[[#This Row],[Level (m)]]&gt;0,Cleanup,0)+VLOOKUP(Res1I[[#This Row],[Level (m)]],Relocation[],3,FALSE)</f>
        <v>9864.9906666365769</v>
      </c>
      <c r="AA38" s="177" cm="1">
        <f t="array" ref="AA38">AWE*Res1I[[#This Row],[Adjusted Damage Index]]*Inputs!$C$38*Inputs!D$30+IF(Res1I[[#This Row],[Level (m)]]&gt;0,Cleanup,0)+VLOOKUP(Res1I[[#This Row],[Level (m)]],Relocation[],3,FALSE)</f>
        <v>13629.981333273154</v>
      </c>
      <c r="AB38" s="177" cm="1">
        <f t="array" ref="AB38">AWE*Res1I[[#This Row],[Adjusted Damage Index]]*Inputs!$C$38*Inputs!E$30+IF(Res1I[[#This Row],[Level (m)]]&gt;0,Cleanup,0)+VLOOKUP(Res1I[[#This Row],[Level (m)]],Relocation[],3,FALSE)</f>
        <v>16139.975111030873</v>
      </c>
      <c r="AC38" s="177" cm="1">
        <f t="array" ref="AC38">AWE*Res1I[[#This Row],[Adjusted Damage Index]]*Inputs!$C$38*Inputs!F$30+IF(Res1I[[#This Row],[Level (m)]]&gt;0,Cleanup,0)+VLOOKUP(Res1I[[#This Row],[Level (m)]],Relocation[],3,FALSE)</f>
        <v>15303.310518444967</v>
      </c>
      <c r="AG38" s="50">
        <v>0.05</v>
      </c>
      <c r="AH38" s="176">
        <v>3.8095238095238099E-2</v>
      </c>
      <c r="AI38" s="176" cm="1">
        <f t="array" ref="AI38">AWE*Res2I[[#This Row],[Damage Index]]*Actual_to_Potential</f>
        <v>3.5385569567913999E-2</v>
      </c>
      <c r="AJ38" s="177" cm="1">
        <f t="array" ref="AJ38">AWE*Res2I[[#This Row],[Adjusted Damage Index]]*Inputs!$C$38*Inputs!C$31+IF(Res2I[[#This Row],[Level (m)]]&gt;0,Cleanup,0)+VLOOKUP(Res2I[[#This Row],[Level (m)]],Relocation[],3,FALSE)</f>
        <v>7710.5631889017577</v>
      </c>
      <c r="AK38" s="177" cm="1">
        <f t="array" ref="AK38">AWE*Res2I[[#This Row],[Adjusted Damage Index]]*Inputs!$C$38*Inputs!D$31+IF(Res2I[[#This Row],[Level (m)]]&gt;0,Cleanup,0)+VLOOKUP(Res2I[[#This Row],[Level (m)]],Relocation[],3,FALSE)</f>
        <v>9321.1263778035154</v>
      </c>
      <c r="AL38" s="177" cm="1">
        <f t="array" ref="AL38">AWE*Res2I[[#This Row],[Adjusted Damage Index]]*Inputs!$C$38*Inputs!E$31+IF(Res2I[[#This Row],[Level (m)]]&gt;0,Cleanup,0)+VLOOKUP(Res2I[[#This Row],[Level (m)]],Relocation[],3,FALSE)</f>
        <v>10394.835170404687</v>
      </c>
      <c r="AM38" s="177" cm="1">
        <f t="array" ref="AM38">AWE*Res2I[[#This Row],[Adjusted Damage Index]]*Inputs!$C$38*Inputs!F$31+IF(Res2I[[#This Row],[Level (m)]]&gt;0,Cleanup,0)+VLOOKUP(Res2I[[#This Row],[Level (m)]],Relocation[],3,FALSE)</f>
        <v>10036.932239537629</v>
      </c>
    </row>
    <row r="39" spans="3:39" x14ac:dyDescent="0.3">
      <c r="C39" s="50">
        <v>0.1</v>
      </c>
      <c r="D39" s="176">
        <v>0.2002916666666667</v>
      </c>
      <c r="E39" s="176"/>
      <c r="F39" s="177" cm="1">
        <f t="array" ref="F39">AWE*Res1S[[#This Row],[Damage Index]]*Inputs!C$30*Inputs!C$25</f>
        <v>37209.032199710564</v>
      </c>
      <c r="G39" s="177" cm="1">
        <f t="array" ref="G39">AWE*Res1S[[#This Row],[Damage Index]]*Inputs!D$30*Inputs!D$25</f>
        <v>74418.064399421128</v>
      </c>
      <c r="H39" s="177" cm="1">
        <f t="array" ref="H39">AWE*Res1S[[#This Row],[Damage Index]]*Inputs!E$30*Inputs!E$25</f>
        <v>99224.085865894856</v>
      </c>
      <c r="I39" s="177" cm="1">
        <f t="array" ref="I39">AWE*Res1S[[#This Row],[Damage Index]]*Inputs!F$30*Inputs!F$25</f>
        <v>90955.412043736942</v>
      </c>
      <c r="M39" s="50">
        <v>0.1</v>
      </c>
      <c r="N39" s="176">
        <v>0.11016041666666669</v>
      </c>
      <c r="O39" s="176"/>
      <c r="P39" s="177" cm="1">
        <f t="array" ref="P39">AWE*Res2S[[#This Row],[Damage Index]]*Inputs!C$30*Inputs!C$25</f>
        <v>20464.967709840814</v>
      </c>
      <c r="Q39" s="177" cm="1">
        <f t="array" ref="Q39">AWE*Res2S[[#This Row],[Damage Index]]*Inputs!D$30*Inputs!D$25</f>
        <v>40929.935419681628</v>
      </c>
      <c r="R39" s="177" cm="1">
        <f t="array" ref="R39">AWE*Res2S[[#This Row],[Damage Index]]*Inputs!E$30*Inputs!E$25</f>
        <v>54573.247226242165</v>
      </c>
      <c r="S39" s="177" cm="1">
        <f t="array" ref="S39">AWE*Res2S[[#This Row],[Damage Index]]*Inputs!F$30*Inputs!F$25</f>
        <v>50025.476624055322</v>
      </c>
      <c r="W39" s="50">
        <v>0.1</v>
      </c>
      <c r="X39" s="176">
        <v>0.17810939286358987</v>
      </c>
      <c r="Y39" s="176" cm="1">
        <f t="array" ref="Y39">AWE*Res1I[[#This Row],[Damage Index]]*Actual_to_Potential</f>
        <v>0.16544068568667897</v>
      </c>
      <c r="Z39" s="177" cm="1">
        <f t="array" ref="Z39">AWE*Res1I[[#This Row],[Adjusted Damage Index]]*Inputs!$C$38*Inputs!C$30+IF(Res1I[[#This Row],[Level (m)]]&gt;0,Cleanup,0)+VLOOKUP(Res1I[[#This Row],[Level (m)]],Relocation[],3,FALSE)</f>
        <v>14729.981333273154</v>
      </c>
      <c r="AA39" s="177" cm="1">
        <f t="array" ref="AA39">AWE*Res1I[[#This Row],[Adjusted Damage Index]]*Inputs!$C$38*Inputs!D$30+IF(Res1I[[#This Row],[Level (m)]]&gt;0,Cleanup,0)+VLOOKUP(Res1I[[#This Row],[Level (m)]],Relocation[],3,FALSE)</f>
        <v>22259.962666546307</v>
      </c>
      <c r="AB39" s="177" cm="1">
        <f t="array" ref="AB39">AWE*Res1I[[#This Row],[Adjusted Damage Index]]*Inputs!$C$38*Inputs!E$30+IF(Res1I[[#This Row],[Level (m)]]&gt;0,Cleanup,0)+VLOOKUP(Res1I[[#This Row],[Level (m)]],Relocation[],3,FALSE)</f>
        <v>27279.950222061747</v>
      </c>
      <c r="AC39" s="177" cm="1">
        <f t="array" ref="AC39">AWE*Res1I[[#This Row],[Adjusted Damage Index]]*Inputs!$C$38*Inputs!F$30+IF(Res1I[[#This Row],[Level (m)]]&gt;0,Cleanup,0)+VLOOKUP(Res1I[[#This Row],[Level (m)]],Relocation[],3,FALSE)</f>
        <v>25606.621036889934</v>
      </c>
      <c r="AG39" s="50">
        <v>0.1</v>
      </c>
      <c r="AH39" s="176">
        <v>7.6190476190476197E-2</v>
      </c>
      <c r="AI39" s="176" cm="1">
        <f t="array" ref="AI39">AWE*Res2I[[#This Row],[Damage Index]]*Actual_to_Potential</f>
        <v>7.0771139135827998E-2</v>
      </c>
      <c r="AJ39" s="177" cm="1">
        <f t="array" ref="AJ39">AWE*Res2I[[#This Row],[Adjusted Damage Index]]*Inputs!$C$38*Inputs!C$31+IF(Res2I[[#This Row],[Level (m)]]&gt;0,Cleanup,0)+VLOOKUP(Res2I[[#This Row],[Level (m)]],Relocation[],3,FALSE)</f>
        <v>10421.126377803515</v>
      </c>
      <c r="AK39" s="177" cm="1">
        <f t="array" ref="AK39">AWE*Res2I[[#This Row],[Adjusted Damage Index]]*Inputs!$C$38*Inputs!D$31+IF(Res2I[[#This Row],[Level (m)]]&gt;0,Cleanup,0)+VLOOKUP(Res2I[[#This Row],[Level (m)]],Relocation[],3,FALSE)</f>
        <v>13642.252755607031</v>
      </c>
      <c r="AL39" s="177" cm="1">
        <f t="array" ref="AL39">AWE*Res2I[[#This Row],[Adjusted Damage Index]]*Inputs!$C$38*Inputs!E$31+IF(Res2I[[#This Row],[Level (m)]]&gt;0,Cleanup,0)+VLOOKUP(Res2I[[#This Row],[Level (m)]],Relocation[],3,FALSE)</f>
        <v>15789.670340809374</v>
      </c>
      <c r="AM39" s="177" cm="1">
        <f t="array" ref="AM39">AWE*Res2I[[#This Row],[Adjusted Damage Index]]*Inputs!$C$38*Inputs!F$31+IF(Res2I[[#This Row],[Level (m)]]&gt;0,Cleanup,0)+VLOOKUP(Res2I[[#This Row],[Level (m)]],Relocation[],3,FALSE)</f>
        <v>15073.864479075259</v>
      </c>
    </row>
    <row r="40" spans="3:39" x14ac:dyDescent="0.3">
      <c r="C40" s="50">
        <v>0.15</v>
      </c>
      <c r="D40" s="176">
        <v>0.20521875000000003</v>
      </c>
      <c r="E40" s="176"/>
      <c r="F40" s="177" cm="1">
        <f t="array" ref="F40">AWE*Res1S[[#This Row],[Damage Index]]*Inputs!C$30*Inputs!C$25</f>
        <v>38124.357362518094</v>
      </c>
      <c r="G40" s="177" cm="1">
        <f t="array" ref="G40">AWE*Res1S[[#This Row],[Damage Index]]*Inputs!D$30*Inputs!D$25</f>
        <v>76248.714725036189</v>
      </c>
      <c r="H40" s="177" cm="1">
        <f t="array" ref="H40">AWE*Res1S[[#This Row],[Damage Index]]*Inputs!E$30*Inputs!E$25</f>
        <v>101664.95296671492</v>
      </c>
      <c r="I40" s="177" cm="1">
        <f t="array" ref="I40">AWE*Res1S[[#This Row],[Damage Index]]*Inputs!F$30*Inputs!F$25</f>
        <v>93192.873552822013</v>
      </c>
      <c r="M40" s="50">
        <v>0.15</v>
      </c>
      <c r="N40" s="176">
        <v>0.11287031250000003</v>
      </c>
      <c r="O40" s="176"/>
      <c r="P40" s="177" cm="1">
        <f t="array" ref="P40">AWE*Res2S[[#This Row],[Damage Index]]*Inputs!C$30*Inputs!C$25</f>
        <v>20968.396549384957</v>
      </c>
      <c r="Q40" s="177" cm="1">
        <f t="array" ref="Q40">AWE*Res2S[[#This Row],[Damage Index]]*Inputs!D$30*Inputs!D$25</f>
        <v>41936.793098769915</v>
      </c>
      <c r="R40" s="177" cm="1">
        <f t="array" ref="R40">AWE*Res2S[[#This Row],[Damage Index]]*Inputs!E$30*Inputs!E$25</f>
        <v>55915.724131693212</v>
      </c>
      <c r="S40" s="177" cm="1">
        <f t="array" ref="S40">AWE*Res2S[[#This Row],[Damage Index]]*Inputs!F$30*Inputs!F$25</f>
        <v>51256.080454052113</v>
      </c>
      <c r="W40" s="50">
        <v>0.15</v>
      </c>
      <c r="X40" s="176">
        <v>0.26716408929538477</v>
      </c>
      <c r="Y40" s="176" cm="1">
        <f t="array" ref="Y40">AWE*Res1I[[#This Row],[Damage Index]]*Actual_to_Potential</f>
        <v>0.2481610285300184</v>
      </c>
      <c r="Z40" s="177" cm="1">
        <f t="array" ref="Z40">AWE*Res1I[[#This Row],[Adjusted Damage Index]]*Inputs!$C$38*Inputs!C$30+IF(Res1I[[#This Row],[Level (m)]]&gt;0,Cleanup,0)+VLOOKUP(Res1I[[#This Row],[Level (m)]],Relocation[],3,FALSE)</f>
        <v>19594.971999909729</v>
      </c>
      <c r="AA40" s="177" cm="1">
        <f t="array" ref="AA40">AWE*Res1I[[#This Row],[Adjusted Damage Index]]*Inputs!$C$38*Inputs!D$30+IF(Res1I[[#This Row],[Level (m)]]&gt;0,Cleanup,0)+VLOOKUP(Res1I[[#This Row],[Level (m)]],Relocation[],3,FALSE)</f>
        <v>30889.943999819458</v>
      </c>
      <c r="AB40" s="177" cm="1">
        <f t="array" ref="AB40">AWE*Res1I[[#This Row],[Adjusted Damage Index]]*Inputs!$C$38*Inputs!E$30+IF(Res1I[[#This Row],[Level (m)]]&gt;0,Cleanup,0)+VLOOKUP(Res1I[[#This Row],[Level (m)]],Relocation[],3,FALSE)</f>
        <v>38419.925333092608</v>
      </c>
      <c r="AC40" s="177" cm="1">
        <f t="array" ref="AC40">AWE*Res1I[[#This Row],[Adjusted Damage Index]]*Inputs!$C$38*Inputs!F$30+IF(Res1I[[#This Row],[Level (m)]]&gt;0,Cleanup,0)+VLOOKUP(Res1I[[#This Row],[Level (m)]],Relocation[],3,FALSE)</f>
        <v>35909.931555334886</v>
      </c>
      <c r="AG40" s="50">
        <v>0.15</v>
      </c>
      <c r="AH40" s="176">
        <v>0.11428571428571427</v>
      </c>
      <c r="AI40" s="176" cm="1">
        <f t="array" ref="AI40">AWE*Res2I[[#This Row],[Damage Index]]*Actual_to_Potential</f>
        <v>0.10615670870374197</v>
      </c>
      <c r="AJ40" s="177" cm="1">
        <f t="array" ref="AJ40">AWE*Res2I[[#This Row],[Adjusted Damage Index]]*Inputs!$C$38*Inputs!C$31+IF(Res2I[[#This Row],[Level (m)]]&gt;0,Cleanup,0)+VLOOKUP(Res2I[[#This Row],[Level (m)]],Relocation[],3,FALSE)</f>
        <v>13131.68956670527</v>
      </c>
      <c r="AK40" s="177" cm="1">
        <f t="array" ref="AK40">AWE*Res2I[[#This Row],[Adjusted Damage Index]]*Inputs!$C$38*Inputs!D$31+IF(Res2I[[#This Row],[Level (m)]]&gt;0,Cleanup,0)+VLOOKUP(Res2I[[#This Row],[Level (m)]],Relocation[],3,FALSE)</f>
        <v>17963.379133410541</v>
      </c>
      <c r="AL40" s="177" cm="1">
        <f t="array" ref="AL40">AWE*Res2I[[#This Row],[Adjusted Damage Index]]*Inputs!$C$38*Inputs!E$31+IF(Res2I[[#This Row],[Level (m)]]&gt;0,Cleanup,0)+VLOOKUP(Res2I[[#This Row],[Level (m)]],Relocation[],3,FALSE)</f>
        <v>21184.505511214054</v>
      </c>
      <c r="AM40" s="177" cm="1">
        <f t="array" ref="AM40">AWE*Res2I[[#This Row],[Adjusted Damage Index]]*Inputs!$C$38*Inputs!F$31+IF(Res2I[[#This Row],[Level (m)]]&gt;0,Cleanup,0)+VLOOKUP(Res2I[[#This Row],[Level (m)]],Relocation[],3,FALSE)</f>
        <v>20110.796718612881</v>
      </c>
    </row>
    <row r="41" spans="3:39" x14ac:dyDescent="0.3">
      <c r="C41" s="50">
        <v>0.2</v>
      </c>
      <c r="D41" s="176">
        <v>0.21014583333333337</v>
      </c>
      <c r="E41" s="176"/>
      <c r="F41" s="177" cm="1">
        <f t="array" ref="F41">AWE*Res1S[[#This Row],[Damage Index]]*Inputs!C$30*Inputs!C$25</f>
        <v>39039.682525325617</v>
      </c>
      <c r="G41" s="177" cm="1">
        <f t="array" ref="G41">AWE*Res1S[[#This Row],[Damage Index]]*Inputs!D$30*Inputs!D$25</f>
        <v>78079.365050651235</v>
      </c>
      <c r="H41" s="177" cm="1">
        <f t="array" ref="H41">AWE*Res1S[[#This Row],[Damage Index]]*Inputs!E$30*Inputs!E$25</f>
        <v>104105.82006753498</v>
      </c>
      <c r="I41" s="177" cm="1">
        <f t="array" ref="I41">AWE*Res1S[[#This Row],[Damage Index]]*Inputs!F$30*Inputs!F$25</f>
        <v>95430.33506190707</v>
      </c>
      <c r="M41" s="50">
        <v>0.2</v>
      </c>
      <c r="N41" s="176">
        <v>0.11558020833333335</v>
      </c>
      <c r="O41" s="176"/>
      <c r="P41" s="177" cm="1">
        <f t="array" ref="P41">AWE*Res2S[[#This Row],[Damage Index]]*Inputs!C$30*Inputs!C$25</f>
        <v>21471.82538892909</v>
      </c>
      <c r="Q41" s="177" cm="1">
        <f t="array" ref="Q41">AWE*Res2S[[#This Row],[Damage Index]]*Inputs!D$30*Inputs!D$25</f>
        <v>42943.65077785818</v>
      </c>
      <c r="R41" s="177" cm="1">
        <f t="array" ref="R41">AWE*Res2S[[#This Row],[Damage Index]]*Inputs!E$30*Inputs!E$25</f>
        <v>57258.201037144237</v>
      </c>
      <c r="S41" s="177" cm="1">
        <f t="array" ref="S41">AWE*Res2S[[#This Row],[Damage Index]]*Inputs!F$30*Inputs!F$25</f>
        <v>52486.684284048883</v>
      </c>
      <c r="W41" s="50">
        <v>0.2</v>
      </c>
      <c r="X41" s="176">
        <v>0.35621878572717974</v>
      </c>
      <c r="Y41" s="176" cm="1">
        <f t="array" ref="Y41">AWE*Res1I[[#This Row],[Damage Index]]*Actual_to_Potential</f>
        <v>0.33088137137335794</v>
      </c>
      <c r="Z41" s="177" cm="1">
        <f t="array" ref="Z41">AWE*Res1I[[#This Row],[Adjusted Damage Index]]*Inputs!$C$38*Inputs!C$30+IF(Res1I[[#This Row],[Level (m)]]&gt;0,Cleanup,0)+VLOOKUP(Res1I[[#This Row],[Level (m)]],Relocation[],3,FALSE)</f>
        <v>23559.962666546307</v>
      </c>
      <c r="AA41" s="177" cm="1">
        <f t="array" ref="AA41">AWE*Res1I[[#This Row],[Adjusted Damage Index]]*Inputs!$C$38*Inputs!D$30+IF(Res1I[[#This Row],[Level (m)]]&gt;0,Cleanup,0)+VLOOKUP(Res1I[[#This Row],[Level (m)]],Relocation[],3,FALSE)</f>
        <v>38619.925333092615</v>
      </c>
      <c r="AB41" s="177" cm="1">
        <f t="array" ref="AB41">AWE*Res1I[[#This Row],[Adjusted Damage Index]]*Inputs!$C$38*Inputs!E$30+IF(Res1I[[#This Row],[Level (m)]]&gt;0,Cleanup,0)+VLOOKUP(Res1I[[#This Row],[Level (m)]],Relocation[],3,FALSE)</f>
        <v>48659.900444123494</v>
      </c>
      <c r="AC41" s="177" cm="1">
        <f t="array" ref="AC41">AWE*Res1I[[#This Row],[Adjusted Damage Index]]*Inputs!$C$38*Inputs!F$30+IF(Res1I[[#This Row],[Level (m)]]&gt;0,Cleanup,0)+VLOOKUP(Res1I[[#This Row],[Level (m)]],Relocation[],3,FALSE)</f>
        <v>45313.242073779867</v>
      </c>
      <c r="AG41" s="50">
        <v>0.2</v>
      </c>
      <c r="AH41" s="176">
        <v>0.15238095238095239</v>
      </c>
      <c r="AI41" s="176" cm="1">
        <f t="array" ref="AI41">AWE*Res2I[[#This Row],[Damage Index]]*Actual_to_Potential</f>
        <v>0.141542278271656</v>
      </c>
      <c r="AJ41" s="177" cm="1">
        <f t="array" ref="AJ41">AWE*Res2I[[#This Row],[Adjusted Damage Index]]*Inputs!$C$38*Inputs!C$31+IF(Res2I[[#This Row],[Level (m)]]&gt;0,Cleanup,0)+VLOOKUP(Res2I[[#This Row],[Level (m)]],Relocation[],3,FALSE)</f>
        <v>14942.252755607031</v>
      </c>
      <c r="AK41" s="177" cm="1">
        <f t="array" ref="AK41">AWE*Res2I[[#This Row],[Adjusted Damage Index]]*Inputs!$C$38*Inputs!D$31+IF(Res2I[[#This Row],[Level (m)]]&gt;0,Cleanup,0)+VLOOKUP(Res2I[[#This Row],[Level (m)]],Relocation[],3,FALSE)</f>
        <v>21384.505511214062</v>
      </c>
      <c r="AL41" s="177" cm="1">
        <f t="array" ref="AL41">AWE*Res2I[[#This Row],[Adjusted Damage Index]]*Inputs!$C$38*Inputs!E$31+IF(Res2I[[#This Row],[Level (m)]]&gt;0,Cleanup,0)+VLOOKUP(Res2I[[#This Row],[Level (m)]],Relocation[],3,FALSE)</f>
        <v>25679.340681618749</v>
      </c>
      <c r="AM41" s="177" cm="1">
        <f t="array" ref="AM41">AWE*Res2I[[#This Row],[Adjusted Damage Index]]*Inputs!$C$38*Inputs!F$31+IF(Res2I[[#This Row],[Level (m)]]&gt;0,Cleanup,0)+VLOOKUP(Res2I[[#This Row],[Level (m)]],Relocation[],3,FALSE)</f>
        <v>24247.728958150517</v>
      </c>
    </row>
    <row r="42" spans="3:39" x14ac:dyDescent="0.3">
      <c r="C42" s="50">
        <v>0.25</v>
      </c>
      <c r="D42" s="176">
        <v>0.2150729166666667</v>
      </c>
      <c r="E42" s="176"/>
      <c r="F42" s="177" cm="1">
        <f t="array" ref="F42">AWE*Res1S[[#This Row],[Damage Index]]*Inputs!C$30*Inputs!C$25</f>
        <v>39955.007688133141</v>
      </c>
      <c r="G42" s="177" cm="1">
        <f t="array" ref="G42">AWE*Res1S[[#This Row],[Damage Index]]*Inputs!D$30*Inputs!D$25</f>
        <v>79910.015376266281</v>
      </c>
      <c r="H42" s="177" cm="1">
        <f t="array" ref="H42">AWE*Res1S[[#This Row],[Damage Index]]*Inputs!E$30*Inputs!E$25</f>
        <v>106546.68716835506</v>
      </c>
      <c r="I42" s="177" cm="1">
        <f t="array" ref="I42">AWE*Res1S[[#This Row],[Damage Index]]*Inputs!F$30*Inputs!F$25</f>
        <v>97667.796570992126</v>
      </c>
      <c r="M42" s="50">
        <v>0.25</v>
      </c>
      <c r="N42" s="176">
        <v>0.11829010416666669</v>
      </c>
      <c r="O42" s="176"/>
      <c r="P42" s="177" cm="1">
        <f t="array" ref="P42">AWE*Res2S[[#This Row],[Damage Index]]*Inputs!C$30*Inputs!C$25</f>
        <v>21975.254228473234</v>
      </c>
      <c r="Q42" s="177" cm="1">
        <f t="array" ref="Q42">AWE*Res2S[[#This Row],[Damage Index]]*Inputs!D$30*Inputs!D$25</f>
        <v>43950.508456946467</v>
      </c>
      <c r="R42" s="177" cm="1">
        <f t="array" ref="R42">AWE*Res2S[[#This Row],[Damage Index]]*Inputs!E$30*Inputs!E$25</f>
        <v>58600.677942595285</v>
      </c>
      <c r="S42" s="177" cm="1">
        <f t="array" ref="S42">AWE*Res2S[[#This Row],[Damage Index]]*Inputs!F$30*Inputs!F$25</f>
        <v>53717.288114045674</v>
      </c>
      <c r="W42" s="50">
        <v>0.25</v>
      </c>
      <c r="X42" s="176">
        <v>0.44527348215897466</v>
      </c>
      <c r="Y42" s="176" cm="1">
        <f t="array" ref="Y42">AWE*Res1I[[#This Row],[Damage Index]]*Actual_to_Potential</f>
        <v>0.41360171421669734</v>
      </c>
      <c r="Z42" s="177" cm="1">
        <f t="array" ref="Z42">AWE*Res1I[[#This Row],[Adjusted Damage Index]]*Inputs!$C$38*Inputs!C$30+IF(Res1I[[#This Row],[Level (m)]]&gt;0,Cleanup,0)+VLOOKUP(Res1I[[#This Row],[Level (m)]],Relocation[],3,FALSE)</f>
        <v>27524.953333182882</v>
      </c>
      <c r="AA42" s="177" cm="1">
        <f t="array" ref="AA42">AWE*Res1I[[#This Row],[Adjusted Damage Index]]*Inputs!$C$38*Inputs!D$30+IF(Res1I[[#This Row],[Level (m)]]&gt;0,Cleanup,0)+VLOOKUP(Res1I[[#This Row],[Level (m)]],Relocation[],3,FALSE)</f>
        <v>46349.906666365765</v>
      </c>
      <c r="AB42" s="177" cm="1">
        <f t="array" ref="AB42">AWE*Res1I[[#This Row],[Adjusted Damage Index]]*Inputs!$C$38*Inputs!E$30+IF(Res1I[[#This Row],[Level (m)]]&gt;0,Cleanup,0)+VLOOKUP(Res1I[[#This Row],[Level (m)]],Relocation[],3,FALSE)</f>
        <v>58899.875555154351</v>
      </c>
      <c r="AC42" s="177" cm="1">
        <f t="array" ref="AC42">AWE*Res1I[[#This Row],[Adjusted Damage Index]]*Inputs!$C$38*Inputs!F$30+IF(Res1I[[#This Row],[Level (m)]]&gt;0,Cleanup,0)+VLOOKUP(Res1I[[#This Row],[Level (m)]],Relocation[],3,FALSE)</f>
        <v>54716.552592224827</v>
      </c>
      <c r="AG42" s="50">
        <v>0.25</v>
      </c>
      <c r="AH42" s="176">
        <v>0.19047619047619047</v>
      </c>
      <c r="AI42" s="176" cm="1">
        <f t="array" ref="AI42">AWE*Res2I[[#This Row],[Damage Index]]*Actual_to_Potential</f>
        <v>0.17692784783956997</v>
      </c>
      <c r="AJ42" s="177" cm="1">
        <f t="array" ref="AJ42">AWE*Res2I[[#This Row],[Adjusted Damage Index]]*Inputs!$C$38*Inputs!C$31+IF(Res2I[[#This Row],[Level (m)]]&gt;0,Cleanup,0)+VLOOKUP(Res2I[[#This Row],[Level (m)]],Relocation[],3,FALSE)</f>
        <v>16752.815944508788</v>
      </c>
      <c r="AK42" s="177" cm="1">
        <f t="array" ref="AK42">AWE*Res2I[[#This Row],[Adjusted Damage Index]]*Inputs!$C$38*Inputs!D$31+IF(Res2I[[#This Row],[Level (m)]]&gt;0,Cleanup,0)+VLOOKUP(Res2I[[#This Row],[Level (m)]],Relocation[],3,FALSE)</f>
        <v>24805.631889017572</v>
      </c>
      <c r="AL42" s="177" cm="1">
        <f t="array" ref="AL42">AWE*Res2I[[#This Row],[Adjusted Damage Index]]*Inputs!$C$38*Inputs!E$31+IF(Res2I[[#This Row],[Level (m)]]&gt;0,Cleanup,0)+VLOOKUP(Res2I[[#This Row],[Level (m)]],Relocation[],3,FALSE)</f>
        <v>30174.175852023429</v>
      </c>
      <c r="AM42" s="177" cm="1">
        <f t="array" ref="AM42">AWE*Res2I[[#This Row],[Adjusted Damage Index]]*Inputs!$C$38*Inputs!F$31+IF(Res2I[[#This Row],[Level (m)]]&gt;0,Cleanup,0)+VLOOKUP(Res2I[[#This Row],[Level (m)]],Relocation[],3,FALSE)</f>
        <v>28384.661197688143</v>
      </c>
    </row>
    <row r="43" spans="3:39" x14ac:dyDescent="0.3">
      <c r="C43" s="50">
        <v>0.3</v>
      </c>
      <c r="D43" s="176">
        <v>0.22000000000000003</v>
      </c>
      <c r="E43" s="176"/>
      <c r="F43" s="177" cm="1">
        <f t="array" ref="F43">AWE*Res1S[[#This Row],[Damage Index]]*Inputs!C$30*Inputs!C$25</f>
        <v>40870.332850940664</v>
      </c>
      <c r="G43" s="177" cm="1">
        <f t="array" ref="G43">AWE*Res1S[[#This Row],[Damage Index]]*Inputs!D$30*Inputs!D$25</f>
        <v>81740.665701881328</v>
      </c>
      <c r="H43" s="177" cm="1">
        <f t="array" ref="H43">AWE*Res1S[[#This Row],[Damage Index]]*Inputs!E$30*Inputs!E$25</f>
        <v>108987.5542691751</v>
      </c>
      <c r="I43" s="177" cm="1">
        <f t="array" ref="I43">AWE*Res1S[[#This Row],[Damage Index]]*Inputs!F$30*Inputs!F$25</f>
        <v>99905.258080077183</v>
      </c>
      <c r="M43" s="50">
        <v>0.3</v>
      </c>
      <c r="N43" s="176">
        <v>0.12100000000000002</v>
      </c>
      <c r="O43" s="176"/>
      <c r="P43" s="177" cm="1">
        <f t="array" ref="P43">AWE*Res2S[[#This Row],[Damage Index]]*Inputs!C$30*Inputs!C$25</f>
        <v>22478.683068017366</v>
      </c>
      <c r="Q43" s="177" cm="1">
        <f t="array" ref="Q43">AWE*Res2S[[#This Row],[Damage Index]]*Inputs!D$30*Inputs!D$25</f>
        <v>44957.366136034732</v>
      </c>
      <c r="R43" s="177" cm="1">
        <f t="array" ref="R43">AWE*Res2S[[#This Row],[Damage Index]]*Inputs!E$30*Inputs!E$25</f>
        <v>59943.154848046317</v>
      </c>
      <c r="S43" s="177" cm="1">
        <f t="array" ref="S43">AWE*Res2S[[#This Row],[Damage Index]]*Inputs!F$30*Inputs!F$25</f>
        <v>54947.891944042458</v>
      </c>
      <c r="W43" s="50">
        <v>0.3</v>
      </c>
      <c r="X43" s="176">
        <v>0.47656297009447018</v>
      </c>
      <c r="Y43" s="176" cm="1">
        <f t="array" ref="Y43">AWE*Res1I[[#This Row],[Damage Index]]*Actual_to_Potential</f>
        <v>0.44266561845895175</v>
      </c>
      <c r="Z43" s="177" cm="1">
        <f t="array" ref="Z43">AWE*Res1I[[#This Row],[Adjusted Damage Index]]*Inputs!$C$38*Inputs!C$30+IF(Res1I[[#This Row],[Level (m)]]&gt;0,Cleanup,0)+VLOOKUP(Res1I[[#This Row],[Level (m)]],Relocation[],3,FALSE)</f>
        <v>29172.78789173087</v>
      </c>
      <c r="AA43" s="177" cm="1">
        <f t="array" ref="AA43">AWE*Res1I[[#This Row],[Adjusted Damage Index]]*Inputs!$C$38*Inputs!D$30+IF(Res1I[[#This Row],[Level (m)]]&gt;0,Cleanup,0)+VLOOKUP(Res1I[[#This Row],[Level (m)]],Relocation[],3,FALSE)</f>
        <v>49320.57578346174</v>
      </c>
      <c r="AB43" s="177" cm="1">
        <f t="array" ref="AB43">AWE*Res1I[[#This Row],[Adjusted Damage Index]]*Inputs!$C$38*Inputs!E$30+IF(Res1I[[#This Row],[Level (m)]]&gt;0,Cleanup,0)+VLOOKUP(Res1I[[#This Row],[Level (m)]],Relocation[],3,FALSE)</f>
        <v>62752.434377948979</v>
      </c>
      <c r="AC43" s="177" cm="1">
        <f t="array" ref="AC43">AWE*Res1I[[#This Row],[Adjusted Damage Index]]*Inputs!$C$38*Inputs!F$30+IF(Res1I[[#This Row],[Level (m)]]&gt;0,Cleanup,0)+VLOOKUP(Res1I[[#This Row],[Level (m)]],Relocation[],3,FALSE)</f>
        <v>58275.148179786564</v>
      </c>
      <c r="AG43" s="50">
        <v>0.3</v>
      </c>
      <c r="AH43" s="176">
        <v>0.2095238095238095</v>
      </c>
      <c r="AI43" s="176" cm="1">
        <f t="array" ref="AI43">AWE*Res2I[[#This Row],[Damage Index]]*Actual_to_Potential</f>
        <v>0.19462063262352697</v>
      </c>
      <c r="AJ43" s="177" cm="1">
        <f t="array" ref="AJ43">AWE*Res2I[[#This Row],[Adjusted Damage Index]]*Inputs!$C$38*Inputs!C$31+IF(Res2I[[#This Row],[Level (m)]]&gt;0,Cleanup,0)+VLOOKUP(Res2I[[#This Row],[Level (m)]],Relocation[],3,FALSE)</f>
        <v>17883.097538959664</v>
      </c>
      <c r="AK43" s="177" cm="1">
        <f t="array" ref="AK43">AWE*Res2I[[#This Row],[Adjusted Damage Index]]*Inputs!$C$38*Inputs!D$31+IF(Res2I[[#This Row],[Level (m)]]&gt;0,Cleanup,0)+VLOOKUP(Res2I[[#This Row],[Level (m)]],Relocation[],3,FALSE)</f>
        <v>26741.195077919328</v>
      </c>
      <c r="AL43" s="177" cm="1">
        <f t="array" ref="AL43">AWE*Res2I[[#This Row],[Adjusted Damage Index]]*Inputs!$C$38*Inputs!E$31+IF(Res2I[[#This Row],[Level (m)]]&gt;0,Cleanup,0)+VLOOKUP(Res2I[[#This Row],[Level (m)]],Relocation[],3,FALSE)</f>
        <v>32646.593437225773</v>
      </c>
      <c r="AM43" s="177" cm="1">
        <f t="array" ref="AM43">AWE*Res2I[[#This Row],[Adjusted Damage Index]]*Inputs!$C$38*Inputs!F$31+IF(Res2I[[#This Row],[Level (m)]]&gt;0,Cleanup,0)+VLOOKUP(Res2I[[#This Row],[Level (m)]],Relocation[],3,FALSE)</f>
        <v>30678.127317456958</v>
      </c>
    </row>
    <row r="44" spans="3:39" x14ac:dyDescent="0.3">
      <c r="C44" s="50">
        <v>0.35</v>
      </c>
      <c r="D44" s="176">
        <v>0.22000000000000003</v>
      </c>
      <c r="E44" s="176"/>
      <c r="F44" s="177" cm="1">
        <f t="array" ref="F44">AWE*Res1S[[#This Row],[Damage Index]]*Inputs!C$30*Inputs!C$25</f>
        <v>40870.332850940664</v>
      </c>
      <c r="G44" s="177" cm="1">
        <f t="array" ref="G44">AWE*Res1S[[#This Row],[Damage Index]]*Inputs!D$30*Inputs!D$25</f>
        <v>81740.665701881328</v>
      </c>
      <c r="H44" s="177" cm="1">
        <f t="array" ref="H44">AWE*Res1S[[#This Row],[Damage Index]]*Inputs!E$30*Inputs!E$25</f>
        <v>108987.5542691751</v>
      </c>
      <c r="I44" s="177" cm="1">
        <f t="array" ref="I44">AWE*Res1S[[#This Row],[Damage Index]]*Inputs!F$30*Inputs!F$25</f>
        <v>99905.258080077183</v>
      </c>
      <c r="M44" s="50">
        <v>0.35</v>
      </c>
      <c r="N44" s="176">
        <v>0.12100000000000002</v>
      </c>
      <c r="O44" s="176"/>
      <c r="P44" s="177" cm="1">
        <f t="array" ref="P44">AWE*Res2S[[#This Row],[Damage Index]]*Inputs!C$30*Inputs!C$25</f>
        <v>22478.683068017366</v>
      </c>
      <c r="Q44" s="177" cm="1">
        <f t="array" ref="Q44">AWE*Res2S[[#This Row],[Damage Index]]*Inputs!D$30*Inputs!D$25</f>
        <v>44957.366136034732</v>
      </c>
      <c r="R44" s="177" cm="1">
        <f t="array" ref="R44">AWE*Res2S[[#This Row],[Damage Index]]*Inputs!E$30*Inputs!E$25</f>
        <v>59943.154848046317</v>
      </c>
      <c r="S44" s="177" cm="1">
        <f t="array" ref="S44">AWE*Res2S[[#This Row],[Damage Index]]*Inputs!F$30*Inputs!F$25</f>
        <v>54947.891944042458</v>
      </c>
      <c r="W44" s="50">
        <v>0.35</v>
      </c>
      <c r="X44" s="176">
        <v>0.5078524580299657</v>
      </c>
      <c r="Y44" s="176" cm="1">
        <f t="array" ref="Y44">AWE*Res1I[[#This Row],[Damage Index]]*Actual_to_Potential</f>
        <v>0.47172952270120622</v>
      </c>
      <c r="Z44" s="177" cm="1">
        <f t="array" ref="Z44">AWE*Res1I[[#This Row],[Adjusted Damage Index]]*Inputs!$C$38*Inputs!C$30+IF(Res1I[[#This Row],[Level (m)]]&gt;0,Cleanup,0)+VLOOKUP(Res1I[[#This Row],[Level (m)]],Relocation[],3,FALSE)</f>
        <v>30820.622450278861</v>
      </c>
      <c r="AA44" s="177" cm="1">
        <f t="array" ref="AA44">AWE*Res1I[[#This Row],[Adjusted Damage Index]]*Inputs!$C$38*Inputs!D$30+IF(Res1I[[#This Row],[Level (m)]]&gt;0,Cleanup,0)+VLOOKUP(Res1I[[#This Row],[Level (m)]],Relocation[],3,FALSE)</f>
        <v>52291.244900557722</v>
      </c>
      <c r="AB44" s="177" cm="1">
        <f t="array" ref="AB44">AWE*Res1I[[#This Row],[Adjusted Damage Index]]*Inputs!$C$38*Inputs!E$30+IF(Res1I[[#This Row],[Level (m)]]&gt;0,Cleanup,0)+VLOOKUP(Res1I[[#This Row],[Level (m)]],Relocation[],3,FALSE)</f>
        <v>66604.993200743629</v>
      </c>
      <c r="AC44" s="177" cm="1">
        <f t="array" ref="AC44">AWE*Res1I[[#This Row],[Adjusted Damage Index]]*Inputs!$C$38*Inputs!F$30+IF(Res1I[[#This Row],[Level (m)]]&gt;0,Cleanup,0)+VLOOKUP(Res1I[[#This Row],[Level (m)]],Relocation[],3,FALSE)</f>
        <v>61833.743767348322</v>
      </c>
      <c r="AG44" s="50">
        <v>0.35</v>
      </c>
      <c r="AH44" s="176">
        <v>0.22857142857142854</v>
      </c>
      <c r="AI44" s="176" cm="1">
        <f t="array" ref="AI44">AWE*Res2I[[#This Row],[Damage Index]]*Actual_to_Potential</f>
        <v>0.21231341740748394</v>
      </c>
      <c r="AJ44" s="177" cm="1">
        <f t="array" ref="AJ44">AWE*Res2I[[#This Row],[Adjusted Damage Index]]*Inputs!$C$38*Inputs!C$31+IF(Res2I[[#This Row],[Level (m)]]&gt;0,Cleanup,0)+VLOOKUP(Res2I[[#This Row],[Level (m)]],Relocation[],3,FALSE)</f>
        <v>19013.379133410541</v>
      </c>
      <c r="AK44" s="177" cm="1">
        <f t="array" ref="AK44">AWE*Res2I[[#This Row],[Adjusted Damage Index]]*Inputs!$C$38*Inputs!D$31+IF(Res2I[[#This Row],[Level (m)]]&gt;0,Cleanup,0)+VLOOKUP(Res2I[[#This Row],[Level (m)]],Relocation[],3,FALSE)</f>
        <v>28676.758266821082</v>
      </c>
      <c r="AL44" s="177" cm="1">
        <f t="array" ref="AL44">AWE*Res2I[[#This Row],[Adjusted Damage Index]]*Inputs!$C$38*Inputs!E$31+IF(Res2I[[#This Row],[Level (m)]]&gt;0,Cleanup,0)+VLOOKUP(Res2I[[#This Row],[Level (m)]],Relocation[],3,FALSE)</f>
        <v>35119.011022428109</v>
      </c>
      <c r="AM44" s="177" cm="1">
        <f t="array" ref="AM44">AWE*Res2I[[#This Row],[Adjusted Damage Index]]*Inputs!$C$38*Inputs!F$31+IF(Res2I[[#This Row],[Level (m)]]&gt;0,Cleanup,0)+VLOOKUP(Res2I[[#This Row],[Level (m)]],Relocation[],3,FALSE)</f>
        <v>32971.593437225762</v>
      </c>
    </row>
    <row r="45" spans="3:39" x14ac:dyDescent="0.3">
      <c r="C45" s="50">
        <v>0.4</v>
      </c>
      <c r="D45" s="176">
        <v>0.22000000000000003</v>
      </c>
      <c r="E45" s="176"/>
      <c r="F45" s="177" cm="1">
        <f t="array" ref="F45">AWE*Res1S[[#This Row],[Damage Index]]*Inputs!C$30*Inputs!C$25</f>
        <v>40870.332850940664</v>
      </c>
      <c r="G45" s="177" cm="1">
        <f t="array" ref="G45">AWE*Res1S[[#This Row],[Damage Index]]*Inputs!D$30*Inputs!D$25</f>
        <v>81740.665701881328</v>
      </c>
      <c r="H45" s="177" cm="1">
        <f t="array" ref="H45">AWE*Res1S[[#This Row],[Damage Index]]*Inputs!E$30*Inputs!E$25</f>
        <v>108987.5542691751</v>
      </c>
      <c r="I45" s="177" cm="1">
        <f t="array" ref="I45">AWE*Res1S[[#This Row],[Damage Index]]*Inputs!F$30*Inputs!F$25</f>
        <v>99905.258080077183</v>
      </c>
      <c r="M45" s="50">
        <v>0.4</v>
      </c>
      <c r="N45" s="176">
        <v>0.12100000000000002</v>
      </c>
      <c r="O45" s="176"/>
      <c r="P45" s="177" cm="1">
        <f t="array" ref="P45">AWE*Res2S[[#This Row],[Damage Index]]*Inputs!C$30*Inputs!C$25</f>
        <v>22478.683068017366</v>
      </c>
      <c r="Q45" s="177" cm="1">
        <f t="array" ref="Q45">AWE*Res2S[[#This Row],[Damage Index]]*Inputs!D$30*Inputs!D$25</f>
        <v>44957.366136034732</v>
      </c>
      <c r="R45" s="177" cm="1">
        <f t="array" ref="R45">AWE*Res2S[[#This Row],[Damage Index]]*Inputs!E$30*Inputs!E$25</f>
        <v>59943.154848046317</v>
      </c>
      <c r="S45" s="177" cm="1">
        <f t="array" ref="S45">AWE*Res2S[[#This Row],[Damage Index]]*Inputs!F$30*Inputs!F$25</f>
        <v>54947.891944042458</v>
      </c>
      <c r="W45" s="50">
        <v>0.4</v>
      </c>
      <c r="X45" s="176">
        <v>0.53914194596546128</v>
      </c>
      <c r="Y45" s="176" cm="1">
        <f t="array" ref="Y45">AWE*Res1I[[#This Row],[Damage Index]]*Actual_to_Potential</f>
        <v>0.50079342694346063</v>
      </c>
      <c r="Z45" s="177" cm="1">
        <f t="array" ref="Z45">AWE*Res1I[[#This Row],[Adjusted Damage Index]]*Inputs!$C$38*Inputs!C$30+IF(Res1I[[#This Row],[Level (m)]]&gt;0,Cleanup,0)+VLOOKUP(Res1I[[#This Row],[Level (m)]],Relocation[],3,FALSE)</f>
        <v>32468.457008826845</v>
      </c>
      <c r="AA45" s="177" cm="1">
        <f t="array" ref="AA45">AWE*Res1I[[#This Row],[Adjusted Damage Index]]*Inputs!$C$38*Inputs!D$30+IF(Res1I[[#This Row],[Level (m)]]&gt;0,Cleanup,0)+VLOOKUP(Res1I[[#This Row],[Level (m)]],Relocation[],3,FALSE)</f>
        <v>55261.914017653689</v>
      </c>
      <c r="AB45" s="177" cm="1">
        <f t="array" ref="AB45">AWE*Res1I[[#This Row],[Adjusted Damage Index]]*Inputs!$C$38*Inputs!E$30+IF(Res1I[[#This Row],[Level (m)]]&gt;0,Cleanup,0)+VLOOKUP(Res1I[[#This Row],[Level (m)]],Relocation[],3,FALSE)</f>
        <v>70457.552023538243</v>
      </c>
      <c r="AC45" s="177" cm="1">
        <f t="array" ref="AC45">AWE*Res1I[[#This Row],[Adjusted Damage Index]]*Inputs!$C$38*Inputs!F$30+IF(Res1I[[#This Row],[Level (m)]]&gt;0,Cleanup,0)+VLOOKUP(Res1I[[#This Row],[Level (m)]],Relocation[],3,FALSE)</f>
        <v>65392.339354910066</v>
      </c>
      <c r="AG45" s="50">
        <v>0.4</v>
      </c>
      <c r="AH45" s="176">
        <v>0.24761904761904763</v>
      </c>
      <c r="AI45" s="176" cm="1">
        <f t="array" ref="AI45">AWE*Res2I[[#This Row],[Damage Index]]*Actual_to_Potential</f>
        <v>0.23000620219144097</v>
      </c>
      <c r="AJ45" s="177" cm="1">
        <f t="array" ref="AJ45">AWE*Res2I[[#This Row],[Adjusted Damage Index]]*Inputs!$C$38*Inputs!C$31+IF(Res2I[[#This Row],[Level (m)]]&gt;0,Cleanup,0)+VLOOKUP(Res2I[[#This Row],[Level (m)]],Relocation[],3,FALSE)</f>
        <v>20143.660727861421</v>
      </c>
      <c r="AK45" s="177" cm="1">
        <f t="array" ref="AK45">AWE*Res2I[[#This Row],[Adjusted Damage Index]]*Inputs!$C$38*Inputs!D$31+IF(Res2I[[#This Row],[Level (m)]]&gt;0,Cleanup,0)+VLOOKUP(Res2I[[#This Row],[Level (m)]],Relocation[],3,FALSE)</f>
        <v>30612.321455722842</v>
      </c>
      <c r="AL45" s="177" cm="1">
        <f t="array" ref="AL45">AWE*Res2I[[#This Row],[Adjusted Damage Index]]*Inputs!$C$38*Inputs!E$31+IF(Res2I[[#This Row],[Level (m)]]&gt;0,Cleanup,0)+VLOOKUP(Res2I[[#This Row],[Level (m)]],Relocation[],3,FALSE)</f>
        <v>37591.428607630456</v>
      </c>
      <c r="AM45" s="177" cm="1">
        <f t="array" ref="AM45">AWE*Res2I[[#This Row],[Adjusted Damage Index]]*Inputs!$C$38*Inputs!F$31+IF(Res2I[[#This Row],[Level (m)]]&gt;0,Cleanup,0)+VLOOKUP(Res2I[[#This Row],[Level (m)]],Relocation[],3,FALSE)</f>
        <v>35265.059556994587</v>
      </c>
    </row>
    <row r="46" spans="3:39" x14ac:dyDescent="0.3">
      <c r="C46" s="50">
        <v>0.45</v>
      </c>
      <c r="D46" s="176">
        <v>0.22000000000000003</v>
      </c>
      <c r="E46" s="176"/>
      <c r="F46" s="177" cm="1">
        <f t="array" ref="F46">AWE*Res1S[[#This Row],[Damage Index]]*Inputs!C$30*Inputs!C$25</f>
        <v>40870.332850940664</v>
      </c>
      <c r="G46" s="177" cm="1">
        <f t="array" ref="G46">AWE*Res1S[[#This Row],[Damage Index]]*Inputs!D$30*Inputs!D$25</f>
        <v>81740.665701881328</v>
      </c>
      <c r="H46" s="177" cm="1">
        <f t="array" ref="H46">AWE*Res1S[[#This Row],[Damage Index]]*Inputs!E$30*Inputs!E$25</f>
        <v>108987.5542691751</v>
      </c>
      <c r="I46" s="177" cm="1">
        <f t="array" ref="I46">AWE*Res1S[[#This Row],[Damage Index]]*Inputs!F$30*Inputs!F$25</f>
        <v>99905.258080077183</v>
      </c>
      <c r="M46" s="50">
        <v>0.45</v>
      </c>
      <c r="N46" s="176">
        <v>0.12100000000000002</v>
      </c>
      <c r="O46" s="176"/>
      <c r="P46" s="177" cm="1">
        <f t="array" ref="P46">AWE*Res2S[[#This Row],[Damage Index]]*Inputs!C$30*Inputs!C$25</f>
        <v>22478.683068017366</v>
      </c>
      <c r="Q46" s="177" cm="1">
        <f t="array" ref="Q46">AWE*Res2S[[#This Row],[Damage Index]]*Inputs!D$30*Inputs!D$25</f>
        <v>44957.366136034732</v>
      </c>
      <c r="R46" s="177" cm="1">
        <f t="array" ref="R46">AWE*Res2S[[#This Row],[Damage Index]]*Inputs!E$30*Inputs!E$25</f>
        <v>59943.154848046317</v>
      </c>
      <c r="S46" s="177" cm="1">
        <f t="array" ref="S46">AWE*Res2S[[#This Row],[Damage Index]]*Inputs!F$30*Inputs!F$25</f>
        <v>54947.891944042458</v>
      </c>
      <c r="W46" s="50">
        <v>0.45</v>
      </c>
      <c r="X46" s="176">
        <v>0.57043143390095685</v>
      </c>
      <c r="Y46" s="176" cm="1">
        <f t="array" ref="Y46">AWE*Res1I[[#This Row],[Damage Index]]*Actual_to_Potential</f>
        <v>0.5298573311857151</v>
      </c>
      <c r="Z46" s="177" cm="1">
        <f t="array" ref="Z46">AWE*Res1I[[#This Row],[Adjusted Damage Index]]*Inputs!$C$38*Inputs!C$30+IF(Res1I[[#This Row],[Level (m)]]&gt;0,Cleanup,0)+VLOOKUP(Res1I[[#This Row],[Level (m)]],Relocation[],3,FALSE)</f>
        <v>34116.291567374836</v>
      </c>
      <c r="AA46" s="177" cm="1">
        <f t="array" ref="AA46">AWE*Res1I[[#This Row],[Adjusted Damage Index]]*Inputs!$C$38*Inputs!D$30+IF(Res1I[[#This Row],[Level (m)]]&gt;0,Cleanup,0)+VLOOKUP(Res1I[[#This Row],[Level (m)]],Relocation[],3,FALSE)</f>
        <v>58232.583134749664</v>
      </c>
      <c r="AB46" s="177" cm="1">
        <f t="array" ref="AB46">AWE*Res1I[[#This Row],[Adjusted Damage Index]]*Inputs!$C$38*Inputs!E$30+IF(Res1I[[#This Row],[Level (m)]]&gt;0,Cleanup,0)+VLOOKUP(Res1I[[#This Row],[Level (m)]],Relocation[],3,FALSE)</f>
        <v>74310.110846332886</v>
      </c>
      <c r="AC46" s="177" cm="1">
        <f t="array" ref="AC46">AWE*Res1I[[#This Row],[Adjusted Damage Index]]*Inputs!$C$38*Inputs!F$30+IF(Res1I[[#This Row],[Level (m)]]&gt;0,Cleanup,0)+VLOOKUP(Res1I[[#This Row],[Level (m)]],Relocation[],3,FALSE)</f>
        <v>68950.934942471809</v>
      </c>
      <c r="AG46" s="50">
        <v>0.45</v>
      </c>
      <c r="AH46" s="176">
        <v>0.26666666666666666</v>
      </c>
      <c r="AI46" s="176" cm="1">
        <f t="array" ref="AI46">AWE*Res2I[[#This Row],[Damage Index]]*Actual_to_Potential</f>
        <v>0.24769898697539799</v>
      </c>
      <c r="AJ46" s="177" cm="1">
        <f t="array" ref="AJ46">AWE*Res2I[[#This Row],[Adjusted Damage Index]]*Inputs!$C$38*Inputs!C$31+IF(Res2I[[#This Row],[Level (m)]]&gt;0,Cleanup,0)+VLOOKUP(Res2I[[#This Row],[Level (m)]],Relocation[],3,FALSE)</f>
        <v>21273.942322312301</v>
      </c>
      <c r="AK46" s="177" cm="1">
        <f t="array" ref="AK46">AWE*Res2I[[#This Row],[Adjusted Damage Index]]*Inputs!$C$38*Inputs!D$31+IF(Res2I[[#This Row],[Level (m)]]&gt;0,Cleanup,0)+VLOOKUP(Res2I[[#This Row],[Level (m)]],Relocation[],3,FALSE)</f>
        <v>32547.884644624603</v>
      </c>
      <c r="AL46" s="177" cm="1">
        <f t="array" ref="AL46">AWE*Res2I[[#This Row],[Adjusted Damage Index]]*Inputs!$C$38*Inputs!E$31+IF(Res2I[[#This Row],[Level (m)]]&gt;0,Cleanup,0)+VLOOKUP(Res2I[[#This Row],[Level (m)]],Relocation[],3,FALSE)</f>
        <v>40063.846192832803</v>
      </c>
      <c r="AM46" s="177" cm="1">
        <f t="array" ref="AM46">AWE*Res2I[[#This Row],[Adjusted Damage Index]]*Inputs!$C$38*Inputs!F$31+IF(Res2I[[#This Row],[Level (m)]]&gt;0,Cleanup,0)+VLOOKUP(Res2I[[#This Row],[Level (m)]],Relocation[],3,FALSE)</f>
        <v>37558.525676763398</v>
      </c>
    </row>
    <row r="47" spans="3:39" x14ac:dyDescent="0.3">
      <c r="C47" s="50">
        <v>0.5</v>
      </c>
      <c r="D47" s="176">
        <v>0.22000000000000003</v>
      </c>
      <c r="E47" s="176"/>
      <c r="F47" s="177" cm="1">
        <f t="array" ref="F47">AWE*Res1S[[#This Row],[Damage Index]]*Inputs!C$30*Inputs!C$25</f>
        <v>40870.332850940664</v>
      </c>
      <c r="G47" s="177" cm="1">
        <f t="array" ref="G47">AWE*Res1S[[#This Row],[Damage Index]]*Inputs!D$30*Inputs!D$25</f>
        <v>81740.665701881328</v>
      </c>
      <c r="H47" s="177" cm="1">
        <f t="array" ref="H47">AWE*Res1S[[#This Row],[Damage Index]]*Inputs!E$30*Inputs!E$25</f>
        <v>108987.5542691751</v>
      </c>
      <c r="I47" s="177" cm="1">
        <f t="array" ref="I47">AWE*Res1S[[#This Row],[Damage Index]]*Inputs!F$30*Inputs!F$25</f>
        <v>99905.258080077183</v>
      </c>
      <c r="M47" s="50">
        <v>0.5</v>
      </c>
      <c r="N47" s="176">
        <v>0.12100000000000002</v>
      </c>
      <c r="O47" s="176"/>
      <c r="P47" s="177" cm="1">
        <f t="array" ref="P47">AWE*Res2S[[#This Row],[Damage Index]]*Inputs!C$30*Inputs!C$25</f>
        <v>22478.683068017366</v>
      </c>
      <c r="Q47" s="177" cm="1">
        <f t="array" ref="Q47">AWE*Res2S[[#This Row],[Damage Index]]*Inputs!D$30*Inputs!D$25</f>
        <v>44957.366136034732</v>
      </c>
      <c r="R47" s="177" cm="1">
        <f t="array" ref="R47">AWE*Res2S[[#This Row],[Damage Index]]*Inputs!E$30*Inputs!E$25</f>
        <v>59943.154848046317</v>
      </c>
      <c r="S47" s="177" cm="1">
        <f t="array" ref="S47">AWE*Res2S[[#This Row],[Damage Index]]*Inputs!F$30*Inputs!F$25</f>
        <v>54947.891944042458</v>
      </c>
      <c r="W47" s="50">
        <v>0.5</v>
      </c>
      <c r="X47" s="176">
        <v>0.60172092183645232</v>
      </c>
      <c r="Y47" s="176" cm="1">
        <f t="array" ref="Y47">AWE*Res1I[[#This Row],[Damage Index]]*Actual_to_Potential</f>
        <v>0.55892123542796945</v>
      </c>
      <c r="Z47" s="177" cm="1">
        <f t="array" ref="Z47">AWE*Res1I[[#This Row],[Adjusted Damage Index]]*Inputs!$C$38*Inputs!C$30+IF(Res1I[[#This Row],[Level (m)]]&gt;0,Cleanup,0)+VLOOKUP(Res1I[[#This Row],[Level (m)]],Relocation[],3,FALSE)</f>
        <v>35624.840411637095</v>
      </c>
      <c r="AA47" s="177" cm="1">
        <f t="array" ref="AA47">AWE*Res1I[[#This Row],[Adjusted Damage Index]]*Inputs!$C$38*Inputs!D$30+IF(Res1I[[#This Row],[Level (m)]]&gt;0,Cleanup,0)+VLOOKUP(Res1I[[#This Row],[Level (m)]],Relocation[],3,FALSE)</f>
        <v>61063.966537559907</v>
      </c>
      <c r="AB47" s="177" cm="1">
        <f t="array" ref="AB47">AWE*Res1I[[#This Row],[Adjusted Damage Index]]*Inputs!$C$38*Inputs!E$30+IF(Res1I[[#This Row],[Level (m)]]&gt;0,Cleanup,0)+VLOOKUP(Res1I[[#This Row],[Level (m)]],Relocation[],3,FALSE)</f>
        <v>78023.383954841789</v>
      </c>
      <c r="AC47" s="177" cm="1">
        <f t="array" ref="AC47">AWE*Res1I[[#This Row],[Adjusted Damage Index]]*Inputs!$C$38*Inputs!F$30+IF(Res1I[[#This Row],[Level (m)]]&gt;0,Cleanup,0)+VLOOKUP(Res1I[[#This Row],[Level (m)]],Relocation[],3,FALSE)</f>
        <v>72370.244815747836</v>
      </c>
      <c r="AG47" s="50">
        <v>0.5</v>
      </c>
      <c r="AH47" s="176">
        <v>0.2857142857142857</v>
      </c>
      <c r="AI47" s="176" cm="1">
        <f t="array" ref="AI47">AWE*Res2I[[#This Row],[Damage Index]]*Actual_to_Potential</f>
        <v>0.26539177175935497</v>
      </c>
      <c r="AJ47" s="177" cm="1">
        <f t="array" ref="AJ47">AWE*Res2I[[#This Row],[Adjusted Damage Index]]*Inputs!$C$38*Inputs!C$31+IF(Res2I[[#This Row],[Level (m)]]&gt;0,Cleanup,0)+VLOOKUP(Res2I[[#This Row],[Level (m)]],Relocation[],3,FALSE)</f>
        <v>22264.938202477464</v>
      </c>
      <c r="AK47" s="177" cm="1">
        <f t="array" ref="AK47">AWE*Res2I[[#This Row],[Adjusted Damage Index]]*Inputs!$C$38*Inputs!D$31+IF(Res2I[[#This Row],[Level (m)]]&gt;0,Cleanup,0)+VLOOKUP(Res2I[[#This Row],[Level (m)]],Relocation[],3,FALSE)</f>
        <v>34344.162119240638</v>
      </c>
      <c r="AL47" s="177" cm="1">
        <f t="array" ref="AL47">AWE*Res2I[[#This Row],[Adjusted Damage Index]]*Inputs!$C$38*Inputs!E$31+IF(Res2I[[#This Row],[Level (m)]]&gt;0,Cleanup,0)+VLOOKUP(Res2I[[#This Row],[Level (m)]],Relocation[],3,FALSE)</f>
        <v>42396.978063749419</v>
      </c>
      <c r="AM47" s="177" cm="1">
        <f t="array" ref="AM47">AWE*Res2I[[#This Row],[Adjusted Damage Index]]*Inputs!$C$38*Inputs!F$31+IF(Res2I[[#This Row],[Level (m)]]&gt;0,Cleanup,0)+VLOOKUP(Res2I[[#This Row],[Level (m)]],Relocation[],3,FALSE)</f>
        <v>39712.706082246492</v>
      </c>
    </row>
    <row r="48" spans="3:39" x14ac:dyDescent="0.3">
      <c r="C48" s="50">
        <v>0.55000000000000004</v>
      </c>
      <c r="D48" s="176">
        <v>0.22206250000000002</v>
      </c>
      <c r="E48" s="176"/>
      <c r="F48" s="177" cm="1">
        <f t="array" ref="F48">AWE*Res1S[[#This Row],[Damage Index]]*Inputs!C$30*Inputs!C$25</f>
        <v>41253.492221418237</v>
      </c>
      <c r="G48" s="177" cm="1">
        <f t="array" ref="G48">AWE*Res1S[[#This Row],[Damage Index]]*Inputs!D$30*Inputs!D$25</f>
        <v>82506.984442836474</v>
      </c>
      <c r="H48" s="177" cm="1">
        <f t="array" ref="H48">AWE*Res1S[[#This Row],[Damage Index]]*Inputs!E$30*Inputs!E$25</f>
        <v>110009.31259044864</v>
      </c>
      <c r="I48" s="177" cm="1">
        <f t="array" ref="I48">AWE*Res1S[[#This Row],[Damage Index]]*Inputs!F$30*Inputs!F$25</f>
        <v>100841.86987457791</v>
      </c>
      <c r="M48" s="50">
        <v>0.55000000000000004</v>
      </c>
      <c r="N48" s="176">
        <v>0.12213437500000003</v>
      </c>
      <c r="O48" s="176"/>
      <c r="P48" s="177" cm="1">
        <f t="array" ref="P48">AWE*Res2S[[#This Row],[Damage Index]]*Inputs!C$30*Inputs!C$25</f>
        <v>22689.420721780036</v>
      </c>
      <c r="Q48" s="177" cm="1">
        <f t="array" ref="Q48">AWE*Res2S[[#This Row],[Damage Index]]*Inputs!D$30*Inputs!D$25</f>
        <v>45378.841443560072</v>
      </c>
      <c r="R48" s="177" cm="1">
        <f t="array" ref="R48">AWE*Res2S[[#This Row],[Damage Index]]*Inputs!E$30*Inputs!E$25</f>
        <v>60505.12192474676</v>
      </c>
      <c r="S48" s="177" cm="1">
        <f t="array" ref="S48">AWE*Res2S[[#This Row],[Damage Index]]*Inputs!F$30*Inputs!F$25</f>
        <v>55463.028431017861</v>
      </c>
      <c r="W48" s="50">
        <v>0.55000000000000004</v>
      </c>
      <c r="X48" s="176">
        <v>0.62578975870991038</v>
      </c>
      <c r="Y48" s="176" cm="1">
        <f t="array" ref="Y48">AWE*Res1I[[#This Row],[Damage Index]]*Actual_to_Potential</f>
        <v>0.58127808484508814</v>
      </c>
      <c r="Z48" s="177" cm="1">
        <f t="array" ref="Z48">AWE*Res1I[[#This Row],[Adjusted Damage Index]]*Inputs!$C$38*Inputs!C$30+IF(Res1I[[#This Row],[Level (m)]]&gt;0,Cleanup,0)+VLOOKUP(Res1I[[#This Row],[Level (m)]],Relocation[],3,FALSE)</f>
        <v>36828.119742388299</v>
      </c>
      <c r="AA48" s="177" cm="1">
        <f t="array" ref="AA48">AWE*Res1I[[#This Row],[Adjusted Damage Index]]*Inputs!$C$38*Inputs!D$30+IF(Res1I[[#This Row],[Level (m)]]&gt;0,Cleanup,0)+VLOOKUP(Res1I[[#This Row],[Level (m)]],Relocation[],3,FALSE)</f>
        <v>63284.810913348025</v>
      </c>
      <c r="AB48" s="177" cm="1">
        <f t="array" ref="AB48">AWE*Res1I[[#This Row],[Adjusted Damage Index]]*Inputs!$C$38*Inputs!E$30+IF(Res1I[[#This Row],[Level (m)]]&gt;0,Cleanup,0)+VLOOKUP(Res1I[[#This Row],[Level (m)]],Relocation[],3,FALSE)</f>
        <v>80922.605027321159</v>
      </c>
      <c r="AC48" s="177" cm="1">
        <f t="array" ref="AC48">AWE*Res1I[[#This Row],[Adjusted Damage Index]]*Inputs!$C$38*Inputs!F$30+IF(Res1I[[#This Row],[Level (m)]]&gt;0,Cleanup,0)+VLOOKUP(Res1I[[#This Row],[Level (m)]],Relocation[],3,FALSE)</f>
        <v>75043.34032266344</v>
      </c>
      <c r="AG48" s="50">
        <v>0.55000000000000004</v>
      </c>
      <c r="AH48" s="176">
        <v>0.29523809523809524</v>
      </c>
      <c r="AI48" s="176" cm="1">
        <f t="array" ref="AI48">AWE*Res2I[[#This Row],[Damage Index]]*Actual_to_Potential</f>
        <v>0.27423816415133345</v>
      </c>
      <c r="AJ48" s="177" cm="1">
        <f t="array" ref="AJ48">AWE*Res2I[[#This Row],[Adjusted Damage Index]]*Inputs!$C$38*Inputs!C$31+IF(Res2I[[#This Row],[Level (m)]]&gt;0,Cleanup,0)+VLOOKUP(Res2I[[#This Row],[Level (m)]],Relocation[],3,FALSE)</f>
        <v>22853.293285417189</v>
      </c>
      <c r="AK48" s="177" cm="1">
        <f t="array" ref="AK48">AWE*Res2I[[#This Row],[Adjusted Damage Index]]*Inputs!$C$38*Inputs!D$31+IF(Res2I[[#This Row],[Level (m)]]&gt;0,Cleanup,0)+VLOOKUP(Res2I[[#This Row],[Level (m)]],Relocation[],3,FALSE)</f>
        <v>35335.157999405805</v>
      </c>
      <c r="AL48" s="177" cm="1">
        <f t="array" ref="AL48">AWE*Res2I[[#This Row],[Adjusted Damage Index]]*Inputs!$C$38*Inputs!E$31+IF(Res2I[[#This Row],[Level (m)]]&gt;0,Cleanup,0)+VLOOKUP(Res2I[[#This Row],[Level (m)]],Relocation[],3,FALSE)</f>
        <v>43656.401142064889</v>
      </c>
      <c r="AM48" s="177" cm="1">
        <f t="array" ref="AM48">AWE*Res2I[[#This Row],[Adjusted Damage Index]]*Inputs!$C$38*Inputs!F$31+IF(Res2I[[#This Row],[Level (m)]]&gt;0,Cleanup,0)+VLOOKUP(Res2I[[#This Row],[Level (m)]],Relocation[],3,FALSE)</f>
        <v>40882.653427845195</v>
      </c>
    </row>
    <row r="49" spans="3:39" x14ac:dyDescent="0.3">
      <c r="C49" s="50">
        <v>0.6</v>
      </c>
      <c r="D49" s="176">
        <v>0.22412500000000002</v>
      </c>
      <c r="E49" s="176"/>
      <c r="F49" s="177" cm="1">
        <f t="array" ref="F49">AWE*Res1S[[#This Row],[Damage Index]]*Inputs!C$30*Inputs!C$25</f>
        <v>41636.651591895803</v>
      </c>
      <c r="G49" s="177" cm="1">
        <f t="array" ref="G49">AWE*Res1S[[#This Row],[Damage Index]]*Inputs!D$30*Inputs!D$25</f>
        <v>83273.303183791606</v>
      </c>
      <c r="H49" s="177" cm="1">
        <f t="array" ref="H49">AWE*Res1S[[#This Row],[Damage Index]]*Inputs!E$30*Inputs!E$25</f>
        <v>111031.07091172214</v>
      </c>
      <c r="I49" s="177" cm="1">
        <f t="array" ref="I49">AWE*Res1S[[#This Row],[Damage Index]]*Inputs!F$30*Inputs!F$25</f>
        <v>101778.48166907862</v>
      </c>
      <c r="M49" s="50">
        <v>0.6</v>
      </c>
      <c r="N49" s="176">
        <v>0.12326875000000002</v>
      </c>
      <c r="O49" s="176"/>
      <c r="P49" s="177" cm="1">
        <f t="array" ref="P49">AWE*Res2S[[#This Row],[Damage Index]]*Inputs!C$30*Inputs!C$25</f>
        <v>22900.158375542691</v>
      </c>
      <c r="Q49" s="177" cm="1">
        <f t="array" ref="Q49">AWE*Res2S[[#This Row],[Damage Index]]*Inputs!D$30*Inputs!D$25</f>
        <v>45800.316751085382</v>
      </c>
      <c r="R49" s="177" cm="1">
        <f t="array" ref="R49">AWE*Res2S[[#This Row],[Damage Index]]*Inputs!E$30*Inputs!E$25</f>
        <v>61067.089001447181</v>
      </c>
      <c r="S49" s="177" cm="1">
        <f t="array" ref="S49">AWE*Res2S[[#This Row],[Damage Index]]*Inputs!F$30*Inputs!F$25</f>
        <v>55978.16491799325</v>
      </c>
      <c r="W49" s="50">
        <v>0.6</v>
      </c>
      <c r="X49" s="176">
        <v>0.64985859558336845</v>
      </c>
      <c r="Y49" s="176" cm="1">
        <f t="array" ref="Y49">AWE*Res1I[[#This Row],[Damage Index]]*Actual_to_Potential</f>
        <v>0.60363493426220705</v>
      </c>
      <c r="Z49" s="177" cm="1">
        <f t="array" ref="Z49">AWE*Res1I[[#This Row],[Adjusted Damage Index]]*Inputs!$C$38*Inputs!C$30+IF(Res1I[[#This Row],[Level (m)]]&gt;0,Cleanup,0)+VLOOKUP(Res1I[[#This Row],[Level (m)]],Relocation[],3,FALSE)</f>
        <v>38031.399073139495</v>
      </c>
      <c r="AA49" s="177" cm="1">
        <f t="array" ref="AA49">AWE*Res1I[[#This Row],[Adjusted Damage Index]]*Inputs!$C$38*Inputs!D$30+IF(Res1I[[#This Row],[Level (m)]]&gt;0,Cleanup,0)+VLOOKUP(Res1I[[#This Row],[Level (m)]],Relocation[],3,FALSE)</f>
        <v>65505.655289136135</v>
      </c>
      <c r="AB49" s="177" cm="1">
        <f t="array" ref="AB49">AWE*Res1I[[#This Row],[Adjusted Damage Index]]*Inputs!$C$38*Inputs!E$30+IF(Res1I[[#This Row],[Level (m)]]&gt;0,Cleanup,0)+VLOOKUP(Res1I[[#This Row],[Level (m)]],Relocation[],3,FALSE)</f>
        <v>83821.826099800572</v>
      </c>
      <c r="AC49" s="177" cm="1">
        <f t="array" ref="AC49">AWE*Res1I[[#This Row],[Adjusted Damage Index]]*Inputs!$C$38*Inputs!F$30+IF(Res1I[[#This Row],[Level (m)]]&gt;0,Cleanup,0)+VLOOKUP(Res1I[[#This Row],[Level (m)]],Relocation[],3,FALSE)</f>
        <v>77716.435829579088</v>
      </c>
      <c r="AG49" s="50">
        <v>0.6</v>
      </c>
      <c r="AH49" s="176">
        <v>0.30476190476190473</v>
      </c>
      <c r="AI49" s="176" cm="1">
        <f t="array" ref="AI49">AWE*Res2I[[#This Row],[Damage Index]]*Actual_to_Potential</f>
        <v>0.28308455654331194</v>
      </c>
      <c r="AJ49" s="177" cm="1">
        <f t="array" ref="AJ49">AWE*Res2I[[#This Row],[Adjusted Damage Index]]*Inputs!$C$38*Inputs!C$31+IF(Res2I[[#This Row],[Level (m)]]&gt;0,Cleanup,0)+VLOOKUP(Res2I[[#This Row],[Level (m)]],Relocation[],3,FALSE)</f>
        <v>23441.648368356917</v>
      </c>
      <c r="AK49" s="177" cm="1">
        <f t="array" ref="AK49">AWE*Res2I[[#This Row],[Adjusted Damage Index]]*Inputs!$C$38*Inputs!D$31+IF(Res2I[[#This Row],[Level (m)]]&gt;0,Cleanup,0)+VLOOKUP(Res2I[[#This Row],[Level (m)]],Relocation[],3,FALSE)</f>
        <v>36326.153879570971</v>
      </c>
      <c r="AL49" s="177" cm="1">
        <f t="array" ref="AL49">AWE*Res2I[[#This Row],[Adjusted Damage Index]]*Inputs!$C$38*Inputs!E$31+IF(Res2I[[#This Row],[Level (m)]]&gt;0,Cleanup,0)+VLOOKUP(Res2I[[#This Row],[Level (m)]],Relocation[],3,FALSE)</f>
        <v>44915.824220380346</v>
      </c>
      <c r="AM49" s="177" cm="1">
        <f t="array" ref="AM49">AWE*Res2I[[#This Row],[Adjusted Damage Index]]*Inputs!$C$38*Inputs!F$31+IF(Res2I[[#This Row],[Level (m)]]&gt;0,Cleanup,0)+VLOOKUP(Res2I[[#This Row],[Level (m)]],Relocation[],3,FALSE)</f>
        <v>42052.60077344389</v>
      </c>
    </row>
    <row r="50" spans="3:39" x14ac:dyDescent="0.3">
      <c r="C50" s="50">
        <v>0.65</v>
      </c>
      <c r="D50" s="176">
        <v>0.22618750000000004</v>
      </c>
      <c r="E50" s="176"/>
      <c r="F50" s="177" cm="1">
        <f t="array" ref="F50">AWE*Res1S[[#This Row],[Damage Index]]*Inputs!C$30*Inputs!C$25</f>
        <v>42019.810962373376</v>
      </c>
      <c r="G50" s="177" cm="1">
        <f t="array" ref="G50">AWE*Res1S[[#This Row],[Damage Index]]*Inputs!D$30*Inputs!D$25</f>
        <v>84039.621924746752</v>
      </c>
      <c r="H50" s="177" cm="1">
        <f t="array" ref="H50">AWE*Res1S[[#This Row],[Damage Index]]*Inputs!E$30*Inputs!E$25</f>
        <v>112052.82923299567</v>
      </c>
      <c r="I50" s="177" cm="1">
        <f t="array" ref="I50">AWE*Res1S[[#This Row],[Damage Index]]*Inputs!F$30*Inputs!F$25</f>
        <v>102715.09346357938</v>
      </c>
      <c r="M50" s="50">
        <v>0.65</v>
      </c>
      <c r="N50" s="176">
        <v>0.12440312500000003</v>
      </c>
      <c r="O50" s="176"/>
      <c r="P50" s="177" cm="1">
        <f t="array" ref="P50">AWE*Res2S[[#This Row],[Damage Index]]*Inputs!C$30*Inputs!C$25</f>
        <v>23110.896029305357</v>
      </c>
      <c r="Q50" s="177" cm="1">
        <f t="array" ref="Q50">AWE*Res2S[[#This Row],[Damage Index]]*Inputs!D$30*Inputs!D$25</f>
        <v>46221.792058610714</v>
      </c>
      <c r="R50" s="177" cm="1">
        <f t="array" ref="R50">AWE*Res2S[[#This Row],[Damage Index]]*Inputs!E$30*Inputs!E$25</f>
        <v>61629.056078147623</v>
      </c>
      <c r="S50" s="177" cm="1">
        <f t="array" ref="S50">AWE*Res2S[[#This Row],[Damage Index]]*Inputs!F$30*Inputs!F$25</f>
        <v>56493.301404968646</v>
      </c>
      <c r="W50" s="50">
        <v>0.65</v>
      </c>
      <c r="X50" s="176">
        <v>0.67392743245682663</v>
      </c>
      <c r="Y50" s="176" cm="1">
        <f t="array" ref="Y50">AWE*Res1I[[#This Row],[Damage Index]]*Actual_to_Potential</f>
        <v>0.62599178367932584</v>
      </c>
      <c r="Z50" s="177" cm="1">
        <f t="array" ref="Z50">AWE*Res1I[[#This Row],[Adjusted Damage Index]]*Inputs!$C$38*Inputs!C$30+IF(Res1I[[#This Row],[Level (m)]]&gt;0,Cleanup,0)+VLOOKUP(Res1I[[#This Row],[Level (m)]],Relocation[],3,FALSE)</f>
        <v>39234.678403890699</v>
      </c>
      <c r="AA50" s="177" cm="1">
        <f t="array" ref="AA50">AWE*Res1I[[#This Row],[Adjusted Damage Index]]*Inputs!$C$38*Inputs!D$30+IF(Res1I[[#This Row],[Level (m)]]&gt;0,Cleanup,0)+VLOOKUP(Res1I[[#This Row],[Level (m)]],Relocation[],3,FALSE)</f>
        <v>67726.499664924253</v>
      </c>
      <c r="AB50" s="177" cm="1">
        <f t="array" ref="AB50">AWE*Res1I[[#This Row],[Adjusted Damage Index]]*Inputs!$C$38*Inputs!E$30+IF(Res1I[[#This Row],[Level (m)]]&gt;0,Cleanup,0)+VLOOKUP(Res1I[[#This Row],[Level (m)]],Relocation[],3,FALSE)</f>
        <v>86721.04717227997</v>
      </c>
      <c r="AC50" s="177" cm="1">
        <f t="array" ref="AC50">AWE*Res1I[[#This Row],[Adjusted Damage Index]]*Inputs!$C$38*Inputs!F$30+IF(Res1I[[#This Row],[Level (m)]]&gt;0,Cleanup,0)+VLOOKUP(Res1I[[#This Row],[Level (m)]],Relocation[],3,FALSE)</f>
        <v>80389.531336494736</v>
      </c>
      <c r="AG50" s="50">
        <v>0.65</v>
      </c>
      <c r="AH50" s="176">
        <v>0.31428571428571428</v>
      </c>
      <c r="AI50" s="176" cm="1">
        <f t="array" ref="AI50">AWE*Res2I[[#This Row],[Damage Index]]*Actual_to_Potential</f>
        <v>0.29193094893529048</v>
      </c>
      <c r="AJ50" s="177" cm="1">
        <f t="array" ref="AJ50">AWE*Res2I[[#This Row],[Adjusted Damage Index]]*Inputs!$C$38*Inputs!C$31+IF(Res2I[[#This Row],[Level (m)]]&gt;0,Cleanup,0)+VLOOKUP(Res2I[[#This Row],[Level (m)]],Relocation[],3,FALSE)</f>
        <v>24030.003451296645</v>
      </c>
      <c r="AK50" s="177" cm="1">
        <f t="array" ref="AK50">AWE*Res2I[[#This Row],[Adjusted Damage Index]]*Inputs!$C$38*Inputs!D$31+IF(Res2I[[#This Row],[Level (m)]]&gt;0,Cleanup,0)+VLOOKUP(Res2I[[#This Row],[Level (m)]],Relocation[],3,FALSE)</f>
        <v>37317.149759736138</v>
      </c>
      <c r="AL50" s="177" cm="1">
        <f t="array" ref="AL50">AWE*Res2I[[#This Row],[Adjusted Damage Index]]*Inputs!$C$38*Inputs!E$31+IF(Res2I[[#This Row],[Level (m)]]&gt;0,Cleanup,0)+VLOOKUP(Res2I[[#This Row],[Level (m)]],Relocation[],3,FALSE)</f>
        <v>46175.247298695809</v>
      </c>
      <c r="AM50" s="177" cm="1">
        <f t="array" ref="AM50">AWE*Res2I[[#This Row],[Adjusted Damage Index]]*Inputs!$C$38*Inputs!F$31+IF(Res2I[[#This Row],[Level (m)]]&gt;0,Cleanup,0)+VLOOKUP(Res2I[[#This Row],[Level (m)]],Relocation[],3,FALSE)</f>
        <v>43222.548119042585</v>
      </c>
    </row>
    <row r="51" spans="3:39" x14ac:dyDescent="0.3">
      <c r="C51" s="50">
        <v>0.7</v>
      </c>
      <c r="D51" s="176">
        <v>0.22825000000000004</v>
      </c>
      <c r="E51" s="176"/>
      <c r="F51" s="177" cm="1">
        <f t="array" ref="F51">AWE*Res1S[[#This Row],[Damage Index]]*Inputs!C$30*Inputs!C$25</f>
        <v>42402.970332850949</v>
      </c>
      <c r="G51" s="177" cm="1">
        <f t="array" ref="G51">AWE*Res1S[[#This Row],[Damage Index]]*Inputs!D$30*Inputs!D$25</f>
        <v>84805.940665701899</v>
      </c>
      <c r="H51" s="177" cm="1">
        <f t="array" ref="H51">AWE*Res1S[[#This Row],[Damage Index]]*Inputs!E$30*Inputs!E$25</f>
        <v>113074.58755426918</v>
      </c>
      <c r="I51" s="177" cm="1">
        <f t="array" ref="I51">AWE*Res1S[[#This Row],[Damage Index]]*Inputs!F$30*Inputs!F$25</f>
        <v>103651.70525808008</v>
      </c>
      <c r="M51" s="50">
        <v>0.7</v>
      </c>
      <c r="N51" s="176">
        <v>0.12553750000000002</v>
      </c>
      <c r="O51" s="176"/>
      <c r="P51" s="177" cm="1">
        <f t="array" ref="P51">AWE*Res2S[[#This Row],[Damage Index]]*Inputs!C$30*Inputs!C$25</f>
        <v>23321.633683068023</v>
      </c>
      <c r="Q51" s="177" cm="1">
        <f t="array" ref="Q51">AWE*Res2S[[#This Row],[Damage Index]]*Inputs!D$30*Inputs!D$25</f>
        <v>46643.267366136046</v>
      </c>
      <c r="R51" s="177" cm="1">
        <f t="array" ref="R51">AWE*Res2S[[#This Row],[Damage Index]]*Inputs!E$30*Inputs!E$25</f>
        <v>62191.023154848051</v>
      </c>
      <c r="S51" s="177" cm="1">
        <f t="array" ref="S51">AWE*Res2S[[#This Row],[Damage Index]]*Inputs!F$30*Inputs!F$25</f>
        <v>57008.437891944057</v>
      </c>
      <c r="W51" s="50">
        <v>0.7</v>
      </c>
      <c r="X51" s="176">
        <v>0.69799626933028469</v>
      </c>
      <c r="Y51" s="176" cm="1">
        <f t="array" ref="Y51">AWE*Res1I[[#This Row],[Damage Index]]*Actual_to_Potential</f>
        <v>0.64834863309644464</v>
      </c>
      <c r="Z51" s="177" cm="1">
        <f t="array" ref="Z51">AWE*Res1I[[#This Row],[Adjusted Damage Index]]*Inputs!$C$38*Inputs!C$30+IF(Res1I[[#This Row],[Level (m)]]&gt;0,Cleanup,0)+VLOOKUP(Res1I[[#This Row],[Level (m)]],Relocation[],3,FALSE)</f>
        <v>40437.957734641896</v>
      </c>
      <c r="AA51" s="177" cm="1">
        <f t="array" ref="AA51">AWE*Res1I[[#This Row],[Adjusted Damage Index]]*Inputs!$C$38*Inputs!D$30+IF(Res1I[[#This Row],[Level (m)]]&gt;0,Cleanup,0)+VLOOKUP(Res1I[[#This Row],[Level (m)]],Relocation[],3,FALSE)</f>
        <v>69947.344040712371</v>
      </c>
      <c r="AB51" s="177" cm="1">
        <f t="array" ref="AB51">AWE*Res1I[[#This Row],[Adjusted Damage Index]]*Inputs!$C$38*Inputs!E$30+IF(Res1I[[#This Row],[Level (m)]]&gt;0,Cleanup,0)+VLOOKUP(Res1I[[#This Row],[Level (m)]],Relocation[],3,FALSE)</f>
        <v>89620.268244759354</v>
      </c>
      <c r="AC51" s="177" cm="1">
        <f t="array" ref="AC51">AWE*Res1I[[#This Row],[Adjusted Damage Index]]*Inputs!$C$38*Inputs!F$30+IF(Res1I[[#This Row],[Level (m)]]&gt;0,Cleanup,0)+VLOOKUP(Res1I[[#This Row],[Level (m)]],Relocation[],3,FALSE)</f>
        <v>83062.626843410355</v>
      </c>
      <c r="AG51" s="50">
        <v>0.7</v>
      </c>
      <c r="AH51" s="176">
        <v>0.32380952380952377</v>
      </c>
      <c r="AI51" s="176" cm="1">
        <f t="array" ref="AI51">AWE*Res2I[[#This Row],[Damage Index]]*Actual_to_Potential</f>
        <v>0.30077734132726891</v>
      </c>
      <c r="AJ51" s="177" cm="1">
        <f t="array" ref="AJ51">AWE*Res2I[[#This Row],[Adjusted Damage Index]]*Inputs!$C$38*Inputs!C$31+IF(Res2I[[#This Row],[Level (m)]]&gt;0,Cleanup,0)+VLOOKUP(Res2I[[#This Row],[Level (m)]],Relocation[],3,FALSE)</f>
        <v>24618.358534236359</v>
      </c>
      <c r="AK51" s="177" cm="1">
        <f t="array" ref="AK51">AWE*Res2I[[#This Row],[Adjusted Damage Index]]*Inputs!$C$38*Inputs!D$31+IF(Res2I[[#This Row],[Level (m)]]&gt;0,Cleanup,0)+VLOOKUP(Res2I[[#This Row],[Level (m)]],Relocation[],3,FALSE)</f>
        <v>38308.145639901297</v>
      </c>
      <c r="AL51" s="177" cm="1">
        <f t="array" ref="AL51">AWE*Res2I[[#This Row],[Adjusted Damage Index]]*Inputs!$C$38*Inputs!E$31+IF(Res2I[[#This Row],[Level (m)]]&gt;0,Cleanup,0)+VLOOKUP(Res2I[[#This Row],[Level (m)]],Relocation[],3,FALSE)</f>
        <v>47434.670377011251</v>
      </c>
      <c r="AM51" s="177" cm="1">
        <f t="array" ref="AM51">AWE*Res2I[[#This Row],[Adjusted Damage Index]]*Inputs!$C$38*Inputs!F$31+IF(Res2I[[#This Row],[Level (m)]]&gt;0,Cleanup,0)+VLOOKUP(Res2I[[#This Row],[Level (m)]],Relocation[],3,FALSE)</f>
        <v>44392.495464641266</v>
      </c>
    </row>
    <row r="52" spans="3:39" x14ac:dyDescent="0.3">
      <c r="C52" s="50">
        <v>0.75</v>
      </c>
      <c r="D52" s="176">
        <v>0.23031250000000003</v>
      </c>
      <c r="E52" s="176"/>
      <c r="F52" s="177" cm="1">
        <f t="array" ref="F52">AWE*Res1S[[#This Row],[Damage Index]]*Inputs!C$30*Inputs!C$25</f>
        <v>42786.129703328515</v>
      </c>
      <c r="G52" s="177" cm="1">
        <f t="array" ref="G52">AWE*Res1S[[#This Row],[Damage Index]]*Inputs!D$30*Inputs!D$25</f>
        <v>85572.259406657031</v>
      </c>
      <c r="H52" s="177" cm="1">
        <f t="array" ref="H52">AWE*Res1S[[#This Row],[Damage Index]]*Inputs!E$30*Inputs!E$25</f>
        <v>114096.3458755427</v>
      </c>
      <c r="I52" s="177" cm="1">
        <f t="array" ref="I52">AWE*Res1S[[#This Row],[Damage Index]]*Inputs!F$30*Inputs!F$25</f>
        <v>104588.31705258081</v>
      </c>
      <c r="M52" s="50">
        <v>0.75</v>
      </c>
      <c r="N52" s="176">
        <v>0.12667187500000004</v>
      </c>
      <c r="O52" s="176"/>
      <c r="P52" s="177" cm="1">
        <f t="array" ref="P52">AWE*Res2S[[#This Row],[Damage Index]]*Inputs!C$30*Inputs!C$25</f>
        <v>23532.371336830685</v>
      </c>
      <c r="Q52" s="177" cm="1">
        <f t="array" ref="Q52">AWE*Res2S[[#This Row],[Damage Index]]*Inputs!D$30*Inputs!D$25</f>
        <v>47064.742673661371</v>
      </c>
      <c r="R52" s="177" cm="1">
        <f t="array" ref="R52">AWE*Res2S[[#This Row],[Damage Index]]*Inputs!E$30*Inputs!E$25</f>
        <v>62752.990231548494</v>
      </c>
      <c r="S52" s="177" cm="1">
        <f t="array" ref="S52">AWE*Res2S[[#This Row],[Damage Index]]*Inputs!F$30*Inputs!F$25</f>
        <v>57523.574378919453</v>
      </c>
      <c r="W52" s="50">
        <v>0.75</v>
      </c>
      <c r="X52" s="176">
        <v>0.72206510620374276</v>
      </c>
      <c r="Y52" s="176" cm="1">
        <f t="array" ref="Y52">AWE*Res1I[[#This Row],[Damage Index]]*Actual_to_Potential</f>
        <v>0.67070548251356332</v>
      </c>
      <c r="Z52" s="177" cm="1">
        <f t="array" ref="Z52">AWE*Res1I[[#This Row],[Adjusted Damage Index]]*Inputs!$C$38*Inputs!C$30+IF(Res1I[[#This Row],[Level (m)]]&gt;0,Cleanup,0)+VLOOKUP(Res1I[[#This Row],[Level (m)]],Relocation[],3,FALSE)</f>
        <v>41641.237065393085</v>
      </c>
      <c r="AA52" s="177" cm="1">
        <f t="array" ref="AA52">AWE*Res1I[[#This Row],[Adjusted Damage Index]]*Inputs!$C$38*Inputs!D$30+IF(Res1I[[#This Row],[Level (m)]]&gt;0,Cleanup,0)+VLOOKUP(Res1I[[#This Row],[Level (m)]],Relocation[],3,FALSE)</f>
        <v>72168.188416500459</v>
      </c>
      <c r="AB52" s="177" cm="1">
        <f t="array" ref="AB52">AWE*Res1I[[#This Row],[Adjusted Damage Index]]*Inputs!$C$38*Inputs!E$30+IF(Res1I[[#This Row],[Level (m)]]&gt;0,Cleanup,0)+VLOOKUP(Res1I[[#This Row],[Level (m)]],Relocation[],3,FALSE)</f>
        <v>92519.489317238709</v>
      </c>
      <c r="AC52" s="177" cm="1">
        <f t="array" ref="AC52">AWE*Res1I[[#This Row],[Adjusted Damage Index]]*Inputs!$C$38*Inputs!F$30+IF(Res1I[[#This Row],[Level (m)]]&gt;0,Cleanup,0)+VLOOKUP(Res1I[[#This Row],[Level (m)]],Relocation[],3,FALSE)</f>
        <v>85735.722350325959</v>
      </c>
      <c r="AG52" s="50">
        <v>0.75</v>
      </c>
      <c r="AH52" s="176">
        <v>0.33333333333333331</v>
      </c>
      <c r="AI52" s="176" cm="1">
        <f t="array" ref="AI52">AWE*Res2I[[#This Row],[Damage Index]]*Actual_to_Potential</f>
        <v>0.30962373371924745</v>
      </c>
      <c r="AJ52" s="177" cm="1">
        <f t="array" ref="AJ52">AWE*Res2I[[#This Row],[Adjusted Damage Index]]*Inputs!$C$38*Inputs!C$31+IF(Res2I[[#This Row],[Level (m)]]&gt;0,Cleanup,0)+VLOOKUP(Res2I[[#This Row],[Level (m)]],Relocation[],3,FALSE)</f>
        <v>25206.71361717609</v>
      </c>
      <c r="AK52" s="177" cm="1">
        <f t="array" ref="AK52">AWE*Res2I[[#This Row],[Adjusted Damage Index]]*Inputs!$C$38*Inputs!D$31+IF(Res2I[[#This Row],[Level (m)]]&gt;0,Cleanup,0)+VLOOKUP(Res2I[[#This Row],[Level (m)]],Relocation[],3,FALSE)</f>
        <v>39299.141520066463</v>
      </c>
      <c r="AL52" s="177" cm="1">
        <f t="array" ref="AL52">AWE*Res2I[[#This Row],[Adjusted Damage Index]]*Inputs!$C$38*Inputs!E$31+IF(Res2I[[#This Row],[Level (m)]]&gt;0,Cleanup,0)+VLOOKUP(Res2I[[#This Row],[Level (m)]],Relocation[],3,FALSE)</f>
        <v>48694.093455326714</v>
      </c>
      <c r="AM52" s="177" cm="1">
        <f t="array" ref="AM52">AWE*Res2I[[#This Row],[Adjusted Damage Index]]*Inputs!$C$38*Inputs!F$31+IF(Res2I[[#This Row],[Level (m)]]&gt;0,Cleanup,0)+VLOOKUP(Res2I[[#This Row],[Level (m)]],Relocation[],3,FALSE)</f>
        <v>45562.442810239969</v>
      </c>
    </row>
    <row r="53" spans="3:39" x14ac:dyDescent="0.3">
      <c r="C53" s="50">
        <v>0.8</v>
      </c>
      <c r="D53" s="176">
        <v>0.23237500000000003</v>
      </c>
      <c r="E53" s="176"/>
      <c r="F53" s="177" cm="1">
        <f t="array" ref="F53">AWE*Res1S[[#This Row],[Damage Index]]*Inputs!C$30*Inputs!C$25</f>
        <v>43169.289073806081</v>
      </c>
      <c r="G53" s="177" cm="1">
        <f t="array" ref="G53">AWE*Res1S[[#This Row],[Damage Index]]*Inputs!D$30*Inputs!D$25</f>
        <v>86338.578147612163</v>
      </c>
      <c r="H53" s="177" cm="1">
        <f t="array" ref="H53">AWE*Res1S[[#This Row],[Damage Index]]*Inputs!E$30*Inputs!E$25</f>
        <v>115118.10419681622</v>
      </c>
      <c r="I53" s="177" cm="1">
        <f t="array" ref="I53">AWE*Res1S[[#This Row],[Damage Index]]*Inputs!F$30*Inputs!F$25</f>
        <v>105524.92884708154</v>
      </c>
      <c r="M53" s="50">
        <v>0.8</v>
      </c>
      <c r="N53" s="176">
        <v>0.12780625000000004</v>
      </c>
      <c r="O53" s="176"/>
      <c r="P53" s="177" cm="1">
        <f t="array" ref="P53">AWE*Res2S[[#This Row],[Damage Index]]*Inputs!C$30*Inputs!C$25</f>
        <v>23743.108990593348</v>
      </c>
      <c r="Q53" s="177" cm="1">
        <f t="array" ref="Q53">AWE*Res2S[[#This Row],[Damage Index]]*Inputs!D$30*Inputs!D$25</f>
        <v>47486.217981186695</v>
      </c>
      <c r="R53" s="177" cm="1">
        <f t="array" ref="R53">AWE*Res2S[[#This Row],[Damage Index]]*Inputs!E$30*Inputs!E$25</f>
        <v>63314.957308248937</v>
      </c>
      <c r="S53" s="177" cm="1">
        <f t="array" ref="S53">AWE*Res2S[[#This Row],[Damage Index]]*Inputs!F$30*Inputs!F$25</f>
        <v>58038.710865894856</v>
      </c>
      <c r="W53" s="50">
        <v>0.8</v>
      </c>
      <c r="X53" s="176">
        <v>0.74613394307720093</v>
      </c>
      <c r="Y53" s="176" cm="1">
        <f t="array" ref="Y53">AWE*Res1I[[#This Row],[Damage Index]]*Actual_to_Potential</f>
        <v>0.69306233193068223</v>
      </c>
      <c r="Z53" s="177" cm="1">
        <f t="array" ref="Z53">AWE*Res1I[[#This Row],[Adjusted Damage Index]]*Inputs!$C$38*Inputs!C$30+IF(Res1I[[#This Row],[Level (m)]]&gt;0,Cleanup,0)+VLOOKUP(Res1I[[#This Row],[Level (m)]],Relocation[],3,FALSE)</f>
        <v>42844.516396144296</v>
      </c>
      <c r="AA53" s="177" cm="1">
        <f t="array" ref="AA53">AWE*Res1I[[#This Row],[Adjusted Damage Index]]*Inputs!$C$38*Inputs!D$30+IF(Res1I[[#This Row],[Level (m)]]&gt;0,Cleanup,0)+VLOOKUP(Res1I[[#This Row],[Level (m)]],Relocation[],3,FALSE)</f>
        <v>74389.032792288592</v>
      </c>
      <c r="AB53" s="177" cm="1">
        <f t="array" ref="AB53">AWE*Res1I[[#This Row],[Adjusted Damage Index]]*Inputs!$C$38*Inputs!E$30+IF(Res1I[[#This Row],[Level (m)]]&gt;0,Cleanup,0)+VLOOKUP(Res1I[[#This Row],[Level (m)]],Relocation[],3,FALSE)</f>
        <v>95418.710389718122</v>
      </c>
      <c r="AC53" s="177" cm="1">
        <f t="array" ref="AC53">AWE*Res1I[[#This Row],[Adjusted Damage Index]]*Inputs!$C$38*Inputs!F$30+IF(Res1I[[#This Row],[Level (m)]]&gt;0,Cleanup,0)+VLOOKUP(Res1I[[#This Row],[Level (m)]],Relocation[],3,FALSE)</f>
        <v>88408.817857241622</v>
      </c>
      <c r="AG53" s="50">
        <v>0.8</v>
      </c>
      <c r="AH53" s="176">
        <v>0.34285714285714286</v>
      </c>
      <c r="AI53" s="176" cm="1">
        <f t="array" ref="AI53">AWE*Res2I[[#This Row],[Damage Index]]*Actual_to_Potential</f>
        <v>0.31847012611122594</v>
      </c>
      <c r="AJ53" s="177" cm="1">
        <f t="array" ref="AJ53">AWE*Res2I[[#This Row],[Adjusted Damage Index]]*Inputs!$C$38*Inputs!C$31+IF(Res2I[[#This Row],[Level (m)]]&gt;0,Cleanup,0)+VLOOKUP(Res2I[[#This Row],[Level (m)]],Relocation[],3,FALSE)</f>
        <v>25795.068700115815</v>
      </c>
      <c r="AK53" s="177" cm="1">
        <f t="array" ref="AK53">AWE*Res2I[[#This Row],[Adjusted Damage Index]]*Inputs!$C$38*Inputs!D$31+IF(Res2I[[#This Row],[Level (m)]]&gt;0,Cleanup,0)+VLOOKUP(Res2I[[#This Row],[Level (m)]],Relocation[],3,FALSE)</f>
        <v>40290.13740023163</v>
      </c>
      <c r="AL53" s="177" cm="1">
        <f t="array" ref="AL53">AWE*Res2I[[#This Row],[Adjusted Damage Index]]*Inputs!$C$38*Inputs!E$31+IF(Res2I[[#This Row],[Level (m)]]&gt;0,Cleanup,0)+VLOOKUP(Res2I[[#This Row],[Level (m)]],Relocation[],3,FALSE)</f>
        <v>49953.516533642171</v>
      </c>
      <c r="AM53" s="177" cm="1">
        <f t="array" ref="AM53">AWE*Res2I[[#This Row],[Adjusted Damage Index]]*Inputs!$C$38*Inputs!F$31+IF(Res2I[[#This Row],[Level (m)]]&gt;0,Cleanup,0)+VLOOKUP(Res2I[[#This Row],[Level (m)]],Relocation[],3,FALSE)</f>
        <v>46732.390155838657</v>
      </c>
    </row>
    <row r="54" spans="3:39" x14ac:dyDescent="0.3">
      <c r="C54" s="50">
        <v>0.85</v>
      </c>
      <c r="D54" s="176">
        <v>0.23443750000000002</v>
      </c>
      <c r="E54" s="176"/>
      <c r="F54" s="177" cm="1">
        <f t="array" ref="F54">AWE*Res1S[[#This Row],[Damage Index]]*Inputs!C$30*Inputs!C$25</f>
        <v>43552.448444283647</v>
      </c>
      <c r="G54" s="177" cm="1">
        <f t="array" ref="G54">AWE*Res1S[[#This Row],[Damage Index]]*Inputs!D$30*Inputs!D$25</f>
        <v>87104.896888567295</v>
      </c>
      <c r="H54" s="177" cm="1">
        <f t="array" ref="H54">AWE*Res1S[[#This Row],[Damage Index]]*Inputs!E$30*Inputs!E$25</f>
        <v>116139.86251808972</v>
      </c>
      <c r="I54" s="177" cm="1">
        <f t="array" ref="I54">AWE*Res1S[[#This Row],[Damage Index]]*Inputs!F$30*Inputs!F$25</f>
        <v>106461.54064158225</v>
      </c>
      <c r="M54" s="50">
        <v>0.85</v>
      </c>
      <c r="N54" s="176">
        <v>0.12894062500000003</v>
      </c>
      <c r="O54" s="176"/>
      <c r="P54" s="177" cm="1">
        <f t="array" ref="P54">AWE*Res2S[[#This Row],[Damage Index]]*Inputs!C$30*Inputs!C$25</f>
        <v>23953.84664435601</v>
      </c>
      <c r="Q54" s="177" cm="1">
        <f t="array" ref="Q54">AWE*Res2S[[#This Row],[Damage Index]]*Inputs!D$30*Inputs!D$25</f>
        <v>47907.69328871202</v>
      </c>
      <c r="R54" s="177" cm="1">
        <f t="array" ref="R54">AWE*Res2S[[#This Row],[Damage Index]]*Inputs!E$30*Inputs!E$25</f>
        <v>63876.924384949365</v>
      </c>
      <c r="S54" s="177" cm="1">
        <f t="array" ref="S54">AWE*Res2S[[#This Row],[Damage Index]]*Inputs!F$30*Inputs!F$25</f>
        <v>58553.847352870245</v>
      </c>
      <c r="W54" s="50">
        <v>0.85</v>
      </c>
      <c r="X54" s="176">
        <v>0.770202779950659</v>
      </c>
      <c r="Y54" s="176" cm="1">
        <f t="array" ref="Y54">AWE*Res1I[[#This Row],[Damage Index]]*Actual_to_Potential</f>
        <v>0.71541918134780103</v>
      </c>
      <c r="Z54" s="177" cm="1">
        <f t="array" ref="Z54">AWE*Res1I[[#This Row],[Adjusted Damage Index]]*Inputs!$C$38*Inputs!C$30+IF(Res1I[[#This Row],[Level (m)]]&gt;0,Cleanup,0)+VLOOKUP(Res1I[[#This Row],[Level (m)]],Relocation[],3,FALSE)</f>
        <v>45137.08144118121</v>
      </c>
      <c r="AA54" s="177" cm="1">
        <f t="array" ref="AA54">AWE*Res1I[[#This Row],[Adjusted Damage Index]]*Inputs!$C$38*Inputs!D$30+IF(Res1I[[#This Row],[Level (m)]]&gt;0,Cleanup,0)+VLOOKUP(Res1I[[#This Row],[Level (m)]],Relocation[],3,FALSE)</f>
        <v>77699.16288236242</v>
      </c>
      <c r="AB54" s="177" cm="1">
        <f t="array" ref="AB54">AWE*Res1I[[#This Row],[Adjusted Damage Index]]*Inputs!$C$38*Inputs!E$30+IF(Res1I[[#This Row],[Level (m)]]&gt;0,Cleanup,0)+VLOOKUP(Res1I[[#This Row],[Level (m)]],Relocation[],3,FALSE)</f>
        <v>99407.217176483216</v>
      </c>
      <c r="AC54" s="177" cm="1">
        <f t="array" ref="AC54">AWE*Res1I[[#This Row],[Adjusted Damage Index]]*Inputs!$C$38*Inputs!F$30+IF(Res1I[[#This Row],[Level (m)]]&gt;0,Cleanup,0)+VLOOKUP(Res1I[[#This Row],[Level (m)]],Relocation[],3,FALSE)</f>
        <v>92171.199078442951</v>
      </c>
      <c r="AG54" s="50">
        <v>0.85</v>
      </c>
      <c r="AH54" s="176">
        <v>0.35238095238095235</v>
      </c>
      <c r="AI54" s="176" cm="1">
        <f t="array" ref="AI54">AWE*Res2I[[#This Row],[Damage Index]]*Actual_to_Potential</f>
        <v>0.32731651850320442</v>
      </c>
      <c r="AJ54" s="177" cm="1">
        <f t="array" ref="AJ54">AWE*Res2I[[#This Row],[Adjusted Damage Index]]*Inputs!$C$38*Inputs!C$31+IF(Res2I[[#This Row],[Level (m)]]&gt;0,Cleanup,0)+VLOOKUP(Res2I[[#This Row],[Level (m)]],Relocation[],3,FALSE)</f>
        <v>27472.709497341253</v>
      </c>
      <c r="AK54" s="177" cm="1">
        <f t="array" ref="AK54">AWE*Res2I[[#This Row],[Adjusted Damage Index]]*Inputs!$C$38*Inputs!D$31+IF(Res2I[[#This Row],[Level (m)]]&gt;0,Cleanup,0)+VLOOKUP(Res2I[[#This Row],[Level (m)]],Relocation[],3,FALSE)</f>
        <v>42370.418994682506</v>
      </c>
      <c r="AL54" s="177" cm="1">
        <f t="array" ref="AL54">AWE*Res2I[[#This Row],[Adjusted Damage Index]]*Inputs!$C$38*Inputs!E$31+IF(Res2I[[#This Row],[Level (m)]]&gt;0,Cleanup,0)+VLOOKUP(Res2I[[#This Row],[Level (m)]],Relocation[],3,FALSE)</f>
        <v>52302.225326243344</v>
      </c>
      <c r="AM54" s="177" cm="1">
        <f t="array" ref="AM54">AWE*Res2I[[#This Row],[Adjusted Damage Index]]*Inputs!$C$38*Inputs!F$31+IF(Res2I[[#This Row],[Level (m)]]&gt;0,Cleanup,0)+VLOOKUP(Res2I[[#This Row],[Level (m)]],Relocation[],3,FALSE)</f>
        <v>48991.623215723062</v>
      </c>
    </row>
    <row r="55" spans="3:39" x14ac:dyDescent="0.3">
      <c r="C55" s="50">
        <v>0.9</v>
      </c>
      <c r="D55" s="176">
        <v>0.23650000000000004</v>
      </c>
      <c r="E55" s="176"/>
      <c r="F55" s="177" cm="1">
        <f t="array" ref="F55">AWE*Res1S[[#This Row],[Damage Index]]*Inputs!C$30*Inputs!C$25</f>
        <v>43935.607814761221</v>
      </c>
      <c r="G55" s="177" cm="1">
        <f t="array" ref="G55">AWE*Res1S[[#This Row],[Damage Index]]*Inputs!D$30*Inputs!D$25</f>
        <v>87871.215629522441</v>
      </c>
      <c r="H55" s="177" cm="1">
        <f t="array" ref="H55">AWE*Res1S[[#This Row],[Damage Index]]*Inputs!E$30*Inputs!E$25</f>
        <v>117161.62083936326</v>
      </c>
      <c r="I55" s="177" cm="1">
        <f t="array" ref="I55">AWE*Res1S[[#This Row],[Damage Index]]*Inputs!F$30*Inputs!F$25</f>
        <v>107398.15243608298</v>
      </c>
      <c r="M55" s="50">
        <v>0.9</v>
      </c>
      <c r="N55" s="176">
        <v>0.13007500000000002</v>
      </c>
      <c r="O55" s="176"/>
      <c r="P55" s="177" cm="1">
        <f t="array" ref="P55">AWE*Res2S[[#This Row],[Damage Index]]*Inputs!C$30*Inputs!C$25</f>
        <v>24164.584298118672</v>
      </c>
      <c r="Q55" s="177" cm="1">
        <f t="array" ref="Q55">AWE*Res2S[[#This Row],[Damage Index]]*Inputs!D$30*Inputs!D$25</f>
        <v>48329.168596237345</v>
      </c>
      <c r="R55" s="177" cm="1">
        <f t="array" ref="R55">AWE*Res2S[[#This Row],[Damage Index]]*Inputs!E$30*Inputs!E$25</f>
        <v>64438.8914616498</v>
      </c>
      <c r="S55" s="177" cm="1">
        <f t="array" ref="S55">AWE*Res2S[[#This Row],[Damage Index]]*Inputs!F$30*Inputs!F$25</f>
        <v>59068.983839845649</v>
      </c>
      <c r="W55" s="50">
        <v>0.9</v>
      </c>
      <c r="X55" s="176">
        <v>0.79427161682411707</v>
      </c>
      <c r="Y55" s="176" cm="1">
        <f t="array" ref="Y55">AWE*Res1I[[#This Row],[Damage Index]]*Actual_to_Potential</f>
        <v>0.73777603076491971</v>
      </c>
      <c r="Z55" s="177" cm="1">
        <f t="array" ref="Z55">AWE*Res1I[[#This Row],[Adjusted Damage Index]]*Inputs!$C$38*Inputs!C$30+IF(Res1I[[#This Row],[Level (m)]]&gt;0,Cleanup,0)+VLOOKUP(Res1I[[#This Row],[Level (m)]],Relocation[],3,FALSE)</f>
        <v>47429.646486218116</v>
      </c>
      <c r="AA55" s="177" cm="1">
        <f t="array" ref="AA55">AWE*Res1I[[#This Row],[Adjusted Damage Index]]*Inputs!$C$38*Inputs!D$30+IF(Res1I[[#This Row],[Level (m)]]&gt;0,Cleanup,0)+VLOOKUP(Res1I[[#This Row],[Level (m)]],Relocation[],3,FALSE)</f>
        <v>81009.292972436233</v>
      </c>
      <c r="AB55" s="177" cm="1">
        <f t="array" ref="AB55">AWE*Res1I[[#This Row],[Adjusted Damage Index]]*Inputs!$C$38*Inputs!E$30+IF(Res1I[[#This Row],[Level (m)]]&gt;0,Cleanup,0)+VLOOKUP(Res1I[[#This Row],[Level (m)]],Relocation[],3,FALSE)</f>
        <v>103395.72396324833</v>
      </c>
      <c r="AC55" s="177" cm="1">
        <f t="array" ref="AC55">AWE*Res1I[[#This Row],[Adjusted Damage Index]]*Inputs!$C$38*Inputs!F$30+IF(Res1I[[#This Row],[Level (m)]]&gt;0,Cleanup,0)+VLOOKUP(Res1I[[#This Row],[Level (m)]],Relocation[],3,FALSE)</f>
        <v>95933.580299644294</v>
      </c>
      <c r="AG55" s="50">
        <v>0.9</v>
      </c>
      <c r="AH55" s="176">
        <v>0.3619047619047619</v>
      </c>
      <c r="AI55" s="176" cm="1">
        <f t="array" ref="AI55">AWE*Res2I[[#This Row],[Damage Index]]*Actual_to_Potential</f>
        <v>0.33616291089518296</v>
      </c>
      <c r="AJ55" s="177" cm="1">
        <f t="array" ref="AJ55">AWE*Res2I[[#This Row],[Adjusted Damage Index]]*Inputs!$C$38*Inputs!C$31+IF(Res2I[[#This Row],[Level (m)]]&gt;0,Cleanup,0)+VLOOKUP(Res2I[[#This Row],[Level (m)]],Relocation[],3,FALSE)</f>
        <v>29150.350294566691</v>
      </c>
      <c r="AK55" s="177" cm="1">
        <f t="array" ref="AK55">AWE*Res2I[[#This Row],[Adjusted Damage Index]]*Inputs!$C$38*Inputs!D$31+IF(Res2I[[#This Row],[Level (m)]]&gt;0,Cleanup,0)+VLOOKUP(Res2I[[#This Row],[Level (m)]],Relocation[],3,FALSE)</f>
        <v>44450.700589133383</v>
      </c>
      <c r="AL55" s="177" cm="1">
        <f t="array" ref="AL55">AWE*Res2I[[#This Row],[Adjusted Damage Index]]*Inputs!$C$38*Inputs!E$31+IF(Res2I[[#This Row],[Level (m)]]&gt;0,Cleanup,0)+VLOOKUP(Res2I[[#This Row],[Level (m)]],Relocation[],3,FALSE)</f>
        <v>54650.934118844518</v>
      </c>
      <c r="AM55" s="177" cm="1">
        <f t="array" ref="AM55">AWE*Res2I[[#This Row],[Adjusted Damage Index]]*Inputs!$C$38*Inputs!F$31+IF(Res2I[[#This Row],[Level (m)]]&gt;0,Cleanup,0)+VLOOKUP(Res2I[[#This Row],[Level (m)]],Relocation[],3,FALSE)</f>
        <v>51250.856275607475</v>
      </c>
    </row>
    <row r="56" spans="3:39" x14ac:dyDescent="0.3">
      <c r="C56" s="50">
        <v>0.95</v>
      </c>
      <c r="D56" s="176">
        <v>0.23856250000000004</v>
      </c>
      <c r="E56" s="176"/>
      <c r="F56" s="177" cm="1">
        <f t="array" ref="F56">AWE*Res1S[[#This Row],[Damage Index]]*Inputs!C$30*Inputs!C$25</f>
        <v>44318.767185238794</v>
      </c>
      <c r="G56" s="177" cm="1">
        <f t="array" ref="G56">AWE*Res1S[[#This Row],[Damage Index]]*Inputs!D$30*Inputs!D$25</f>
        <v>88637.534370477588</v>
      </c>
      <c r="H56" s="177" cm="1">
        <f t="array" ref="H56">AWE*Res1S[[#This Row],[Damage Index]]*Inputs!E$30*Inputs!E$25</f>
        <v>118183.37916063677</v>
      </c>
      <c r="I56" s="177" cm="1">
        <f t="array" ref="I56">AWE*Res1S[[#This Row],[Damage Index]]*Inputs!F$30*Inputs!F$25</f>
        <v>108334.76423058372</v>
      </c>
      <c r="M56" s="50">
        <v>0.95</v>
      </c>
      <c r="N56" s="176">
        <v>0.13120937500000004</v>
      </c>
      <c r="O56" s="176"/>
      <c r="P56" s="177" cm="1">
        <f t="array" ref="P56">AWE*Res2S[[#This Row],[Damage Index]]*Inputs!C$30*Inputs!C$25</f>
        <v>24375.321951881338</v>
      </c>
      <c r="Q56" s="177" cm="1">
        <f t="array" ref="Q56">AWE*Res2S[[#This Row],[Damage Index]]*Inputs!D$30*Inputs!D$25</f>
        <v>48750.643903762677</v>
      </c>
      <c r="R56" s="177" cm="1">
        <f t="array" ref="R56">AWE*Res2S[[#This Row],[Damage Index]]*Inputs!E$30*Inputs!E$25</f>
        <v>65000.858538350229</v>
      </c>
      <c r="S56" s="177" cm="1">
        <f t="array" ref="S56">AWE*Res2S[[#This Row],[Damage Index]]*Inputs!F$30*Inputs!F$25</f>
        <v>59584.120326821052</v>
      </c>
      <c r="W56" s="50">
        <v>0.95</v>
      </c>
      <c r="X56" s="176">
        <v>0.81834045369757513</v>
      </c>
      <c r="Y56" s="176" cm="1">
        <f t="array" ref="Y56">AWE*Res1I[[#This Row],[Damage Index]]*Actual_to_Potential</f>
        <v>0.7601328801820384</v>
      </c>
      <c r="Z56" s="177" cm="1">
        <f t="array" ref="Z56">AWE*Res1I[[#This Row],[Adjusted Damage Index]]*Inputs!$C$38*Inputs!C$30+IF(Res1I[[#This Row],[Level (m)]]&gt;0,Cleanup,0)+VLOOKUP(Res1I[[#This Row],[Level (m)]],Relocation[],3,FALSE)</f>
        <v>49722.21153125503</v>
      </c>
      <c r="AA56" s="177" cm="1">
        <f t="array" ref="AA56">AWE*Res1I[[#This Row],[Adjusted Damage Index]]*Inputs!$C$38*Inputs!D$30+IF(Res1I[[#This Row],[Level (m)]]&gt;0,Cleanup,0)+VLOOKUP(Res1I[[#This Row],[Level (m)]],Relocation[],3,FALSE)</f>
        <v>84319.423062510061</v>
      </c>
      <c r="AB56" s="177" cm="1">
        <f t="array" ref="AB56">AWE*Res1I[[#This Row],[Adjusted Damage Index]]*Inputs!$C$38*Inputs!E$30+IF(Res1I[[#This Row],[Level (m)]]&gt;0,Cleanup,0)+VLOOKUP(Res1I[[#This Row],[Level (m)]],Relocation[],3,FALSE)</f>
        <v>107384.23075001342</v>
      </c>
      <c r="AC56" s="177" cm="1">
        <f t="array" ref="AC56">AWE*Res1I[[#This Row],[Adjusted Damage Index]]*Inputs!$C$38*Inputs!F$30+IF(Res1I[[#This Row],[Level (m)]]&gt;0,Cleanup,0)+VLOOKUP(Res1I[[#This Row],[Level (m)]],Relocation[],3,FALSE)</f>
        <v>99695.961520845638</v>
      </c>
      <c r="AG56" s="50">
        <v>0.95</v>
      </c>
      <c r="AH56" s="176">
        <v>0.37142857142857139</v>
      </c>
      <c r="AI56" s="176" cm="1">
        <f t="array" ref="AI56">AWE*Res2I[[#This Row],[Damage Index]]*Actual_to_Potential</f>
        <v>0.34500930328716145</v>
      </c>
      <c r="AJ56" s="177" cm="1">
        <f t="array" ref="AJ56">AWE*Res2I[[#This Row],[Adjusted Damage Index]]*Inputs!$C$38*Inputs!C$31+IF(Res2I[[#This Row],[Level (m)]]&gt;0,Cleanup,0)+VLOOKUP(Res2I[[#This Row],[Level (m)]],Relocation[],3,FALSE)</f>
        <v>30827.99109179213</v>
      </c>
      <c r="AK56" s="177" cm="1">
        <f t="array" ref="AK56">AWE*Res2I[[#This Row],[Adjusted Damage Index]]*Inputs!$C$38*Inputs!D$31+IF(Res2I[[#This Row],[Level (m)]]&gt;0,Cleanup,0)+VLOOKUP(Res2I[[#This Row],[Level (m)]],Relocation[],3,FALSE)</f>
        <v>46530.982183584267</v>
      </c>
      <c r="AL56" s="177" cm="1">
        <f t="array" ref="AL56">AWE*Res2I[[#This Row],[Adjusted Damage Index]]*Inputs!$C$38*Inputs!E$31+IF(Res2I[[#This Row],[Level (m)]]&gt;0,Cleanup,0)+VLOOKUP(Res2I[[#This Row],[Level (m)]],Relocation[],3,FALSE)</f>
        <v>56999.642911445691</v>
      </c>
      <c r="AM56" s="177" cm="1">
        <f t="array" ref="AM56">AWE*Res2I[[#This Row],[Adjusted Damage Index]]*Inputs!$C$38*Inputs!F$31+IF(Res2I[[#This Row],[Level (m)]]&gt;0,Cleanup,0)+VLOOKUP(Res2I[[#This Row],[Level (m)]],Relocation[],3,FALSE)</f>
        <v>53510.089335491881</v>
      </c>
    </row>
    <row r="57" spans="3:39" x14ac:dyDescent="0.3">
      <c r="C57" s="50">
        <v>1</v>
      </c>
      <c r="D57" s="176">
        <v>0.24062500000000003</v>
      </c>
      <c r="E57" s="176"/>
      <c r="F57" s="177" cm="1">
        <f t="array" ref="F57">AWE*Res1S[[#This Row],[Damage Index]]*Inputs!C$30*Inputs!C$25</f>
        <v>44701.926555716353</v>
      </c>
      <c r="G57" s="177" cm="1">
        <f t="array" ref="G57">AWE*Res1S[[#This Row],[Damage Index]]*Inputs!D$30*Inputs!D$25</f>
        <v>89403.853111432705</v>
      </c>
      <c r="H57" s="177" cm="1">
        <f t="array" ref="H57">AWE*Res1S[[#This Row],[Damage Index]]*Inputs!E$30*Inputs!E$25</f>
        <v>119205.13748191028</v>
      </c>
      <c r="I57" s="177" cm="1">
        <f t="array" ref="I57">AWE*Res1S[[#This Row],[Damage Index]]*Inputs!F$30*Inputs!F$25</f>
        <v>109271.37602508442</v>
      </c>
      <c r="M57" s="50">
        <v>1</v>
      </c>
      <c r="N57" s="176">
        <v>0.13234375000000004</v>
      </c>
      <c r="O57" s="176"/>
      <c r="P57" s="177" cm="1">
        <f t="array" ref="P57">AWE*Res2S[[#This Row],[Damage Index]]*Inputs!C$30*Inputs!C$25</f>
        <v>24586.059605644004</v>
      </c>
      <c r="Q57" s="177" cm="1">
        <f t="array" ref="Q57">AWE*Res2S[[#This Row],[Damage Index]]*Inputs!D$30*Inputs!D$25</f>
        <v>49172.119211288009</v>
      </c>
      <c r="R57" s="177" cm="1">
        <f t="array" ref="R57">AWE*Res2S[[#This Row],[Damage Index]]*Inputs!E$30*Inputs!E$25</f>
        <v>65562.825615050664</v>
      </c>
      <c r="S57" s="177" cm="1">
        <f t="array" ref="S57">AWE*Res2S[[#This Row],[Damage Index]]*Inputs!F$30*Inputs!F$25</f>
        <v>60099.256813796448</v>
      </c>
      <c r="W57" s="50">
        <v>1</v>
      </c>
      <c r="X57" s="176">
        <v>0.84240929057103331</v>
      </c>
      <c r="Y57" s="176" cm="1">
        <f t="array" ref="Y57">AWE*Res1I[[#This Row],[Damage Index]]*Actual_to_Potential</f>
        <v>0.7824897295991573</v>
      </c>
      <c r="Z57" s="177" cm="1">
        <f t="array" ref="Z57">AWE*Res1I[[#This Row],[Adjusted Damage Index]]*Inputs!$C$38*Inputs!C$30+IF(Res1I[[#This Row],[Level (m)]]&gt;0,Cleanup,0)+VLOOKUP(Res1I[[#This Row],[Level (m)]],Relocation[],3,FALSE)</f>
        <v>52014.776576291944</v>
      </c>
      <c r="AA57" s="177" cm="1">
        <f t="array" ref="AA57">AWE*Res1I[[#This Row],[Adjusted Damage Index]]*Inputs!$C$38*Inputs!D$30+IF(Res1I[[#This Row],[Level (m)]]&gt;0,Cleanup,0)+VLOOKUP(Res1I[[#This Row],[Level (m)]],Relocation[],3,FALSE)</f>
        <v>87629.553152583889</v>
      </c>
      <c r="AB57" s="177" cm="1">
        <f t="array" ref="AB57">AWE*Res1I[[#This Row],[Adjusted Damage Index]]*Inputs!$C$38*Inputs!E$30+IF(Res1I[[#This Row],[Level (m)]]&gt;0,Cleanup,0)+VLOOKUP(Res1I[[#This Row],[Level (m)]],Relocation[],3,FALSE)</f>
        <v>111372.73753677853</v>
      </c>
      <c r="AC57" s="177" cm="1">
        <f t="array" ref="AC57">AWE*Res1I[[#This Row],[Adjusted Damage Index]]*Inputs!$C$38*Inputs!F$30+IF(Res1I[[#This Row],[Level (m)]]&gt;0,Cleanup,0)+VLOOKUP(Res1I[[#This Row],[Level (m)]],Relocation[],3,FALSE)</f>
        <v>103458.34274204698</v>
      </c>
      <c r="AG57" s="50">
        <v>1</v>
      </c>
      <c r="AH57" s="176">
        <v>0.38095238095238093</v>
      </c>
      <c r="AI57" s="176" cm="1">
        <f t="array" ref="AI57">AWE*Res2I[[#This Row],[Damage Index]]*Actual_to_Potential</f>
        <v>0.35385569567913994</v>
      </c>
      <c r="AJ57" s="177" cm="1">
        <f t="array" ref="AJ57">AWE*Res2I[[#This Row],[Adjusted Damage Index]]*Inputs!$C$38*Inputs!C$31+IF(Res2I[[#This Row],[Level (m)]]&gt;0,Cleanup,0)+VLOOKUP(Res2I[[#This Row],[Level (m)]],Relocation[],3,FALSE)</f>
        <v>32505.631889017572</v>
      </c>
      <c r="AK57" s="177" cm="1">
        <f t="array" ref="AK57">AWE*Res2I[[#This Row],[Adjusted Damage Index]]*Inputs!$C$38*Inputs!D$31+IF(Res2I[[#This Row],[Level (m)]]&gt;0,Cleanup,0)+VLOOKUP(Res2I[[#This Row],[Level (m)]],Relocation[],3,FALSE)</f>
        <v>48611.263778035143</v>
      </c>
      <c r="AL57" s="177" cm="1">
        <f t="array" ref="AL57">AWE*Res2I[[#This Row],[Adjusted Damage Index]]*Inputs!$C$38*Inputs!E$31+IF(Res2I[[#This Row],[Level (m)]]&gt;0,Cleanup,0)+VLOOKUP(Res2I[[#This Row],[Level (m)]],Relocation[],3,FALSE)</f>
        <v>59348.351704046858</v>
      </c>
      <c r="AM57" s="177" cm="1">
        <f t="array" ref="AM57">AWE*Res2I[[#This Row],[Adjusted Damage Index]]*Inputs!$C$38*Inputs!F$31+IF(Res2I[[#This Row],[Level (m)]]&gt;0,Cleanup,0)+VLOOKUP(Res2I[[#This Row],[Level (m)]],Relocation[],3,FALSE)</f>
        <v>55769.322395376286</v>
      </c>
    </row>
    <row r="58" spans="3:39" x14ac:dyDescent="0.3">
      <c r="C58" s="50">
        <v>1.05</v>
      </c>
      <c r="D58" s="176">
        <v>0.24640000000000004</v>
      </c>
      <c r="E58" s="176"/>
      <c r="F58" s="177" cm="1">
        <f t="array" ref="F58">AWE*Res1S[[#This Row],[Damage Index]]*Inputs!C$30*Inputs!C$25</f>
        <v>45774.772793053555</v>
      </c>
      <c r="G58" s="177" cm="1">
        <f t="array" ref="G58">AWE*Res1S[[#This Row],[Damage Index]]*Inputs!D$30*Inputs!D$25</f>
        <v>91549.54558610711</v>
      </c>
      <c r="H58" s="177" cm="1">
        <f t="array" ref="H58">AWE*Res1S[[#This Row],[Damage Index]]*Inputs!E$30*Inputs!E$25</f>
        <v>122066.06078147615</v>
      </c>
      <c r="I58" s="177" cm="1">
        <f t="array" ref="I58">AWE*Res1S[[#This Row],[Damage Index]]*Inputs!F$30*Inputs!F$25</f>
        <v>111893.88904968646</v>
      </c>
      <c r="M58" s="50">
        <v>1.05</v>
      </c>
      <c r="N58" s="176">
        <v>0.13552000000000003</v>
      </c>
      <c r="O58" s="176"/>
      <c r="P58" s="177" cm="1">
        <f t="array" ref="P58">AWE*Res2S[[#This Row],[Damage Index]]*Inputs!C$30*Inputs!C$25</f>
        <v>25176.125036179455</v>
      </c>
      <c r="Q58" s="177" cm="1">
        <f t="array" ref="Q58">AWE*Res2S[[#This Row],[Damage Index]]*Inputs!D$30*Inputs!D$25</f>
        <v>50352.250072358911</v>
      </c>
      <c r="R58" s="177" cm="1">
        <f t="array" ref="R58">AWE*Res2S[[#This Row],[Damage Index]]*Inputs!E$30*Inputs!E$25</f>
        <v>67136.333429811886</v>
      </c>
      <c r="S58" s="177" cm="1">
        <f t="array" ref="S58">AWE*Res2S[[#This Row],[Damage Index]]*Inputs!F$30*Inputs!F$25</f>
        <v>61541.638977327559</v>
      </c>
      <c r="W58" s="50">
        <v>1.05</v>
      </c>
      <c r="X58" s="176">
        <v>0.85043223619551933</v>
      </c>
      <c r="Y58" s="176" cm="1">
        <f t="array" ref="Y58">AWE*Res1I[[#This Row],[Damage Index]]*Actual_to_Potential</f>
        <v>0.78994201273819697</v>
      </c>
      <c r="Z58" s="177" cm="1">
        <f t="array" ref="Z58">AWE*Res1I[[#This Row],[Adjusted Damage Index]]*Inputs!$C$38*Inputs!C$30+IF(Res1I[[#This Row],[Level (m)]]&gt;0,Cleanup,0)+VLOOKUP(Res1I[[#This Row],[Level (m)]],Relocation[],3,FALSE)</f>
        <v>52353.964924637585</v>
      </c>
      <c r="AA58" s="177" cm="1">
        <f t="array" ref="AA58">AWE*Res1I[[#This Row],[Adjusted Damage Index]]*Inputs!$C$38*Inputs!D$30+IF(Res1I[[#This Row],[Level (m)]]&gt;0,Cleanup,0)+VLOOKUP(Res1I[[#This Row],[Level (m)]],Relocation[],3,FALSE)</f>
        <v>88307.92984927517</v>
      </c>
      <c r="AB58" s="177" cm="1">
        <f t="array" ref="AB58">AWE*Res1I[[#This Row],[Adjusted Damage Index]]*Inputs!$C$38*Inputs!E$30+IF(Res1I[[#This Row],[Level (m)]]&gt;0,Cleanup,0)+VLOOKUP(Res1I[[#This Row],[Level (m)]],Relocation[],3,FALSE)</f>
        <v>112277.23979903357</v>
      </c>
      <c r="AC58" s="177" cm="1">
        <f t="array" ref="AC58">AWE*Res1I[[#This Row],[Adjusted Damage Index]]*Inputs!$C$38*Inputs!F$30+IF(Res1I[[#This Row],[Level (m)]]&gt;0,Cleanup,0)+VLOOKUP(Res1I[[#This Row],[Level (m)]],Relocation[],3,FALSE)</f>
        <v>104287.46981578077</v>
      </c>
      <c r="AG58" s="50">
        <v>1.05</v>
      </c>
      <c r="AH58" s="176">
        <v>0.38306878306878306</v>
      </c>
      <c r="AI58" s="176" cm="1">
        <f t="array" ref="AI58">AWE*Res2I[[#This Row],[Damage Index]]*Actual_to_Potential</f>
        <v>0.35582156065513515</v>
      </c>
      <c r="AJ58" s="177" cm="1">
        <f t="array" ref="AJ58">AWE*Res2I[[#This Row],[Adjusted Damage Index]]*Inputs!$C$38*Inputs!C$31+IF(Res2I[[#This Row],[Level (m)]]&gt;0,Cleanup,0)+VLOOKUP(Res2I[[#This Row],[Level (m)]],Relocation[],3,FALSE)</f>
        <v>32595.107621734336</v>
      </c>
      <c r="AK58" s="177" cm="1">
        <f t="array" ref="AK58">AWE*Res2I[[#This Row],[Adjusted Damage Index]]*Inputs!$C$38*Inputs!D$31+IF(Res2I[[#This Row],[Level (m)]]&gt;0,Cleanup,0)+VLOOKUP(Res2I[[#This Row],[Level (m)]],Relocation[],3,FALSE)</f>
        <v>48790.215243468672</v>
      </c>
      <c r="AL58" s="177" cm="1">
        <f t="array" ref="AL58">AWE*Res2I[[#This Row],[Adjusted Damage Index]]*Inputs!$C$38*Inputs!E$31+IF(Res2I[[#This Row],[Level (m)]]&gt;0,Cleanup,0)+VLOOKUP(Res2I[[#This Row],[Level (m)]],Relocation[],3,FALSE)</f>
        <v>59586.953657958227</v>
      </c>
      <c r="AM58" s="177" cm="1">
        <f t="array" ref="AM58">AWE*Res2I[[#This Row],[Adjusted Damage Index]]*Inputs!$C$38*Inputs!F$31+IF(Res2I[[#This Row],[Level (m)]]&gt;0,Cleanup,0)+VLOOKUP(Res2I[[#This Row],[Level (m)]],Relocation[],3,FALSE)</f>
        <v>55988.040853128376</v>
      </c>
    </row>
    <row r="59" spans="3:39" x14ac:dyDescent="0.3">
      <c r="C59" s="50">
        <v>1.1000000000000001</v>
      </c>
      <c r="D59" s="176">
        <v>0.25217500000000004</v>
      </c>
      <c r="E59" s="176"/>
      <c r="F59" s="177" cm="1">
        <f t="array" ref="F59">AWE*Res1S[[#This Row],[Damage Index]]*Inputs!C$30*Inputs!C$25</f>
        <v>46847.619030390742</v>
      </c>
      <c r="G59" s="177" cm="1">
        <f t="array" ref="G59">AWE*Res1S[[#This Row],[Damage Index]]*Inputs!D$30*Inputs!D$25</f>
        <v>93695.238060781485</v>
      </c>
      <c r="H59" s="177" cm="1">
        <f t="array" ref="H59">AWE*Res1S[[#This Row],[Damage Index]]*Inputs!E$30*Inputs!E$25</f>
        <v>124926.984081042</v>
      </c>
      <c r="I59" s="177" cm="1">
        <f t="array" ref="I59">AWE*Res1S[[#This Row],[Damage Index]]*Inputs!F$30*Inputs!F$25</f>
        <v>114516.40207428849</v>
      </c>
      <c r="M59" s="50">
        <v>1.1000000000000001</v>
      </c>
      <c r="N59" s="176">
        <v>0.13869625000000005</v>
      </c>
      <c r="O59" s="176"/>
      <c r="P59" s="177" cm="1">
        <f t="array" ref="P59">AWE*Res2S[[#This Row],[Damage Index]]*Inputs!C$30*Inputs!C$25</f>
        <v>25766.190466714914</v>
      </c>
      <c r="Q59" s="177" cm="1">
        <f t="array" ref="Q59">AWE*Res2S[[#This Row],[Damage Index]]*Inputs!D$30*Inputs!D$25</f>
        <v>51532.380933429828</v>
      </c>
      <c r="R59" s="177" cm="1">
        <f t="array" ref="R59">AWE*Res2S[[#This Row],[Damage Index]]*Inputs!E$30*Inputs!E$25</f>
        <v>68709.841244573094</v>
      </c>
      <c r="S59" s="177" cm="1">
        <f t="array" ref="S59">AWE*Res2S[[#This Row],[Damage Index]]*Inputs!F$30*Inputs!F$25</f>
        <v>62984.021140858677</v>
      </c>
      <c r="W59" s="50">
        <v>1.1000000000000001</v>
      </c>
      <c r="X59" s="176">
        <v>0.85845518182000535</v>
      </c>
      <c r="Y59" s="176" cm="1">
        <f t="array" ref="Y59">AWE*Res1I[[#This Row],[Damage Index]]*Actual_to_Potential</f>
        <v>0.79739429587723654</v>
      </c>
      <c r="Z59" s="177" cm="1">
        <f t="array" ref="Z59">AWE*Res1I[[#This Row],[Adjusted Damage Index]]*Inputs!$C$38*Inputs!C$30+IF(Res1I[[#This Row],[Level (m)]]&gt;0,Cleanup,0)+VLOOKUP(Res1I[[#This Row],[Level (m)]],Relocation[],3,FALSE)</f>
        <v>52693.153272983225</v>
      </c>
      <c r="AA59" s="177" cm="1">
        <f t="array" ref="AA59">AWE*Res1I[[#This Row],[Adjusted Damage Index]]*Inputs!$C$38*Inputs!D$30+IF(Res1I[[#This Row],[Level (m)]]&gt;0,Cleanup,0)+VLOOKUP(Res1I[[#This Row],[Level (m)]],Relocation[],3,FALSE)</f>
        <v>88986.30654596645</v>
      </c>
      <c r="AB59" s="177" cm="1">
        <f t="array" ref="AB59">AWE*Res1I[[#This Row],[Adjusted Damage Index]]*Inputs!$C$38*Inputs!E$30+IF(Res1I[[#This Row],[Level (m)]]&gt;0,Cleanup,0)+VLOOKUP(Res1I[[#This Row],[Level (m)]],Relocation[],3,FALSE)</f>
        <v>113181.74206128859</v>
      </c>
      <c r="AC59" s="177" cm="1">
        <f t="array" ref="AC59">AWE*Res1I[[#This Row],[Adjusted Damage Index]]*Inputs!$C$38*Inputs!F$30+IF(Res1I[[#This Row],[Level (m)]]&gt;0,Cleanup,0)+VLOOKUP(Res1I[[#This Row],[Level (m)]],Relocation[],3,FALSE)</f>
        <v>105116.59688951455</v>
      </c>
      <c r="AG59" s="50">
        <v>1.1000000000000001</v>
      </c>
      <c r="AH59" s="176">
        <v>0.38518518518518519</v>
      </c>
      <c r="AI59" s="176" cm="1">
        <f t="array" ref="AI59">AWE*Res2I[[#This Row],[Damage Index]]*Actual_to_Potential</f>
        <v>0.35778742563113042</v>
      </c>
      <c r="AJ59" s="177" cm="1">
        <f t="array" ref="AJ59">AWE*Res2I[[#This Row],[Adjusted Damage Index]]*Inputs!$C$38*Inputs!C$31+IF(Res2I[[#This Row],[Level (m)]]&gt;0,Cleanup,0)+VLOOKUP(Res2I[[#This Row],[Level (m)]],Relocation[],3,FALSE)</f>
        <v>32684.583354451101</v>
      </c>
      <c r="AK59" s="177" cm="1">
        <f t="array" ref="AK59">AWE*Res2I[[#This Row],[Adjusted Damage Index]]*Inputs!$C$38*Inputs!D$31+IF(Res2I[[#This Row],[Level (m)]]&gt;0,Cleanup,0)+VLOOKUP(Res2I[[#This Row],[Level (m)]],Relocation[],3,FALSE)</f>
        <v>48969.166708902201</v>
      </c>
      <c r="AL59" s="177" cm="1">
        <f t="array" ref="AL59">AWE*Res2I[[#This Row],[Adjusted Damage Index]]*Inputs!$C$38*Inputs!E$31+IF(Res2I[[#This Row],[Level (m)]]&gt;0,Cleanup,0)+VLOOKUP(Res2I[[#This Row],[Level (m)]],Relocation[],3,FALSE)</f>
        <v>59825.555611869604</v>
      </c>
      <c r="AM59" s="177" cm="1">
        <f t="array" ref="AM59">AWE*Res2I[[#This Row],[Adjusted Damage Index]]*Inputs!$C$38*Inputs!F$31+IF(Res2I[[#This Row],[Level (m)]]&gt;0,Cleanup,0)+VLOOKUP(Res2I[[#This Row],[Level (m)]],Relocation[],3,FALSE)</f>
        <v>56206.759310880472</v>
      </c>
    </row>
    <row r="60" spans="3:39" x14ac:dyDescent="0.3">
      <c r="C60" s="50">
        <v>1.1499999999999999</v>
      </c>
      <c r="D60" s="176">
        <v>0.25795000000000001</v>
      </c>
      <c r="E60" s="176"/>
      <c r="F60" s="177" cm="1">
        <f t="array" ref="F60">AWE*Res1S[[#This Row],[Damage Index]]*Inputs!C$30*Inputs!C$25</f>
        <v>47920.46526772793</v>
      </c>
      <c r="G60" s="177" cm="1">
        <f t="array" ref="G60">AWE*Res1S[[#This Row],[Damage Index]]*Inputs!D$30*Inputs!D$25</f>
        <v>95840.93053545586</v>
      </c>
      <c r="H60" s="177" cm="1">
        <f t="array" ref="H60">AWE*Res1S[[#This Row],[Damage Index]]*Inputs!E$30*Inputs!E$25</f>
        <v>127787.90738060781</v>
      </c>
      <c r="I60" s="177" cm="1">
        <f t="array" ref="I60">AWE*Res1S[[#This Row],[Damage Index]]*Inputs!F$30*Inputs!F$25</f>
        <v>117138.91509889049</v>
      </c>
      <c r="M60" s="50">
        <v>1.1499999999999999</v>
      </c>
      <c r="N60" s="176">
        <v>0.14187250000000004</v>
      </c>
      <c r="O60" s="176"/>
      <c r="P60" s="177" cm="1">
        <f t="array" ref="P60">AWE*Res2S[[#This Row],[Damage Index]]*Inputs!C$30*Inputs!C$25</f>
        <v>26356.255897250368</v>
      </c>
      <c r="Q60" s="177" cm="1">
        <f t="array" ref="Q60">AWE*Res2S[[#This Row],[Damage Index]]*Inputs!D$30*Inputs!D$25</f>
        <v>52712.511794500737</v>
      </c>
      <c r="R60" s="177" cm="1">
        <f t="array" ref="R60">AWE*Res2S[[#This Row],[Damage Index]]*Inputs!E$30*Inputs!E$25</f>
        <v>70283.349059334316</v>
      </c>
      <c r="S60" s="177" cm="1">
        <f t="array" ref="S60">AWE*Res2S[[#This Row],[Damage Index]]*Inputs!F$30*Inputs!F$25</f>
        <v>64426.40330438978</v>
      </c>
      <c r="W60" s="50">
        <v>1.1499999999999999</v>
      </c>
      <c r="X60" s="176">
        <v>0.86647812744449138</v>
      </c>
      <c r="Y60" s="176" cm="1">
        <f t="array" ref="Y60">AWE*Res1I[[#This Row],[Damage Index]]*Actual_to_Potential</f>
        <v>0.8048465790162761</v>
      </c>
      <c r="Z60" s="177" cm="1">
        <f t="array" ref="Z60">AWE*Res1I[[#This Row],[Adjusted Damage Index]]*Inputs!$C$38*Inputs!C$30+IF(Res1I[[#This Row],[Level (m)]]&gt;0,Cleanup,0)+VLOOKUP(Res1I[[#This Row],[Level (m)]],Relocation[],3,FALSE)</f>
        <v>53032.341621328866</v>
      </c>
      <c r="AA60" s="177" cm="1">
        <f t="array" ref="AA60">AWE*Res1I[[#This Row],[Adjusted Damage Index]]*Inputs!$C$38*Inputs!D$30+IF(Res1I[[#This Row],[Level (m)]]&gt;0,Cleanup,0)+VLOOKUP(Res1I[[#This Row],[Level (m)]],Relocation[],3,FALSE)</f>
        <v>89664.683242657731</v>
      </c>
      <c r="AB60" s="177" cm="1">
        <f t="array" ref="AB60">AWE*Res1I[[#This Row],[Adjusted Damage Index]]*Inputs!$C$38*Inputs!E$30+IF(Res1I[[#This Row],[Level (m)]]&gt;0,Cleanup,0)+VLOOKUP(Res1I[[#This Row],[Level (m)]],Relocation[],3,FALSE)</f>
        <v>114086.24432354364</v>
      </c>
      <c r="AC60" s="177" cm="1">
        <f t="array" ref="AC60">AWE*Res1I[[#This Row],[Adjusted Damage Index]]*Inputs!$C$38*Inputs!F$30+IF(Res1I[[#This Row],[Level (m)]]&gt;0,Cleanup,0)+VLOOKUP(Res1I[[#This Row],[Level (m)]],Relocation[],3,FALSE)</f>
        <v>105945.72396324834</v>
      </c>
      <c r="AG60" s="50">
        <v>1.1499999999999999</v>
      </c>
      <c r="AH60" s="176">
        <v>0.38730158730158726</v>
      </c>
      <c r="AI60" s="176" cm="1">
        <f t="array" ref="AI60">AWE*Res2I[[#This Row],[Damage Index]]*Actual_to_Potential</f>
        <v>0.35975329060712558</v>
      </c>
      <c r="AJ60" s="177" cm="1">
        <f t="array" ref="AJ60">AWE*Res2I[[#This Row],[Adjusted Damage Index]]*Inputs!$C$38*Inputs!C$31+IF(Res2I[[#This Row],[Level (m)]]&gt;0,Cleanup,0)+VLOOKUP(Res2I[[#This Row],[Level (m)]],Relocation[],3,FALSE)</f>
        <v>32774.059087167865</v>
      </c>
      <c r="AK60" s="177" cm="1">
        <f t="array" ref="AK60">AWE*Res2I[[#This Row],[Adjusted Damage Index]]*Inputs!$C$38*Inputs!D$31+IF(Res2I[[#This Row],[Level (m)]]&gt;0,Cleanup,0)+VLOOKUP(Res2I[[#This Row],[Level (m)]],Relocation[],3,FALSE)</f>
        <v>49148.11817433573</v>
      </c>
      <c r="AL60" s="177" cm="1">
        <f t="array" ref="AL60">AWE*Res2I[[#This Row],[Adjusted Damage Index]]*Inputs!$C$38*Inputs!E$31+IF(Res2I[[#This Row],[Level (m)]]&gt;0,Cleanup,0)+VLOOKUP(Res2I[[#This Row],[Level (m)]],Relocation[],3,FALSE)</f>
        <v>60064.157565780966</v>
      </c>
      <c r="AM60" s="177" cm="1">
        <f t="array" ref="AM60">AWE*Res2I[[#This Row],[Adjusted Damage Index]]*Inputs!$C$38*Inputs!F$31+IF(Res2I[[#This Row],[Level (m)]]&gt;0,Cleanup,0)+VLOOKUP(Res2I[[#This Row],[Level (m)]],Relocation[],3,FALSE)</f>
        <v>56425.477768632554</v>
      </c>
    </row>
    <row r="61" spans="3:39" x14ac:dyDescent="0.3">
      <c r="C61" s="50">
        <v>1.2</v>
      </c>
      <c r="D61" s="176">
        <v>0.26372500000000004</v>
      </c>
      <c r="E61" s="176"/>
      <c r="F61" s="177" cm="1">
        <f t="array" ref="F61">AWE*Res1S[[#This Row],[Damage Index]]*Inputs!C$30*Inputs!C$25</f>
        <v>48993.311505065132</v>
      </c>
      <c r="G61" s="177" cm="1">
        <f t="array" ref="G61">AWE*Res1S[[#This Row],[Damage Index]]*Inputs!D$30*Inputs!D$25</f>
        <v>97986.623010130264</v>
      </c>
      <c r="H61" s="177" cm="1">
        <f t="array" ref="H61">AWE*Res1S[[#This Row],[Damage Index]]*Inputs!E$30*Inputs!E$25</f>
        <v>130648.83068017369</v>
      </c>
      <c r="I61" s="177" cm="1">
        <f t="array" ref="I61">AWE*Res1S[[#This Row],[Damage Index]]*Inputs!F$30*Inputs!F$25</f>
        <v>119761.42812349254</v>
      </c>
      <c r="M61" s="50">
        <v>1.2</v>
      </c>
      <c r="N61" s="176">
        <v>0.14504875000000003</v>
      </c>
      <c r="O61" s="176"/>
      <c r="P61" s="177" cm="1">
        <f t="array" ref="P61">AWE*Res2S[[#This Row],[Damage Index]]*Inputs!C$30*Inputs!C$25</f>
        <v>26946.321327785823</v>
      </c>
      <c r="Q61" s="177" cm="1">
        <f t="array" ref="Q61">AWE*Res2S[[#This Row],[Damage Index]]*Inputs!D$30*Inputs!D$25</f>
        <v>53892.642655571646</v>
      </c>
      <c r="R61" s="177" cm="1">
        <f t="array" ref="R61">AWE*Res2S[[#This Row],[Damage Index]]*Inputs!E$30*Inputs!E$25</f>
        <v>71856.856874095523</v>
      </c>
      <c r="S61" s="177" cm="1">
        <f t="array" ref="S61">AWE*Res2S[[#This Row],[Damage Index]]*Inputs!F$30*Inputs!F$25</f>
        <v>65868.785467920898</v>
      </c>
      <c r="W61" s="50">
        <v>1.2</v>
      </c>
      <c r="X61" s="176">
        <v>0.8745010730689774</v>
      </c>
      <c r="Y61" s="176" cm="1">
        <f t="array" ref="Y61">AWE*Res1I[[#This Row],[Damage Index]]*Actual_to_Potential</f>
        <v>0.81229886215531566</v>
      </c>
      <c r="Z61" s="177" cm="1">
        <f t="array" ref="Z61">AWE*Res1I[[#This Row],[Adjusted Damage Index]]*Inputs!$C$38*Inputs!C$30+IF(Res1I[[#This Row],[Level (m)]]&gt;0,Cleanup,0)+VLOOKUP(Res1I[[#This Row],[Level (m)]],Relocation[],3,FALSE)</f>
        <v>53371.529969674491</v>
      </c>
      <c r="AA61" s="177" cm="1">
        <f t="array" ref="AA61">AWE*Res1I[[#This Row],[Adjusted Damage Index]]*Inputs!$C$38*Inputs!D$30+IF(Res1I[[#This Row],[Level (m)]]&gt;0,Cleanup,0)+VLOOKUP(Res1I[[#This Row],[Level (m)]],Relocation[],3,FALSE)</f>
        <v>90343.059939348983</v>
      </c>
      <c r="AB61" s="177" cm="1">
        <f t="array" ref="AB61">AWE*Res1I[[#This Row],[Adjusted Damage Index]]*Inputs!$C$38*Inputs!E$30+IF(Res1I[[#This Row],[Level (m)]]&gt;0,Cleanup,0)+VLOOKUP(Res1I[[#This Row],[Level (m)]],Relocation[],3,FALSE)</f>
        <v>114990.74658579865</v>
      </c>
      <c r="AC61" s="177" cm="1">
        <f t="array" ref="AC61">AWE*Res1I[[#This Row],[Adjusted Damage Index]]*Inputs!$C$38*Inputs!F$30+IF(Res1I[[#This Row],[Level (m)]]&gt;0,Cleanup,0)+VLOOKUP(Res1I[[#This Row],[Level (m)]],Relocation[],3,FALSE)</f>
        <v>106774.8510369821</v>
      </c>
      <c r="AG61" s="50">
        <v>1.2</v>
      </c>
      <c r="AH61" s="176">
        <v>0.38941798941798939</v>
      </c>
      <c r="AI61" s="176" cm="1">
        <f t="array" ref="AI61">AWE*Res2I[[#This Row],[Damage Index]]*Actual_to_Potential</f>
        <v>0.36171915558312079</v>
      </c>
      <c r="AJ61" s="177" cm="1">
        <f t="array" ref="AJ61">AWE*Res2I[[#This Row],[Adjusted Damage Index]]*Inputs!$C$38*Inputs!C$31+IF(Res2I[[#This Row],[Level (m)]]&gt;0,Cleanup,0)+VLOOKUP(Res2I[[#This Row],[Level (m)]],Relocation[],3,FALSE)</f>
        <v>32863.534819884626</v>
      </c>
      <c r="AK61" s="177" cm="1">
        <f t="array" ref="AK61">AWE*Res2I[[#This Row],[Adjusted Damage Index]]*Inputs!$C$38*Inputs!D$31+IF(Res2I[[#This Row],[Level (m)]]&gt;0,Cleanup,0)+VLOOKUP(Res2I[[#This Row],[Level (m)]],Relocation[],3,FALSE)</f>
        <v>49327.069639769252</v>
      </c>
      <c r="AL61" s="177" cm="1">
        <f t="array" ref="AL61">AWE*Res2I[[#This Row],[Adjusted Damage Index]]*Inputs!$C$38*Inputs!E$31+IF(Res2I[[#This Row],[Level (m)]]&gt;0,Cleanup,0)+VLOOKUP(Res2I[[#This Row],[Level (m)]],Relocation[],3,FALSE)</f>
        <v>60302.759519692336</v>
      </c>
      <c r="AM61" s="177" cm="1">
        <f t="array" ref="AM61">AWE*Res2I[[#This Row],[Adjusted Damage Index]]*Inputs!$C$38*Inputs!F$31+IF(Res2I[[#This Row],[Level (m)]]&gt;0,Cleanup,0)+VLOOKUP(Res2I[[#This Row],[Level (m)]],Relocation[],3,FALSE)</f>
        <v>56644.196226384644</v>
      </c>
    </row>
    <row r="62" spans="3:39" x14ac:dyDescent="0.3">
      <c r="C62" s="50">
        <v>1.25</v>
      </c>
      <c r="D62" s="176">
        <v>0.26950000000000007</v>
      </c>
      <c r="E62" s="176"/>
      <c r="F62" s="177" cm="1">
        <f t="array" ref="F62">AWE*Res1S[[#This Row],[Damage Index]]*Inputs!C$30*Inputs!C$25</f>
        <v>50066.157742402327</v>
      </c>
      <c r="G62" s="177" cm="1">
        <f t="array" ref="G62">AWE*Res1S[[#This Row],[Damage Index]]*Inputs!D$30*Inputs!D$25</f>
        <v>100132.31548480465</v>
      </c>
      <c r="H62" s="177" cm="1">
        <f t="array" ref="H62">AWE*Res1S[[#This Row],[Damage Index]]*Inputs!E$30*Inputs!E$25</f>
        <v>133509.75397973953</v>
      </c>
      <c r="I62" s="177" cm="1">
        <f t="array" ref="I62">AWE*Res1S[[#This Row],[Damage Index]]*Inputs!F$30*Inputs!F$25</f>
        <v>122383.94114809459</v>
      </c>
      <c r="M62" s="50">
        <v>1.25</v>
      </c>
      <c r="N62" s="176">
        <v>0.14822500000000005</v>
      </c>
      <c r="O62" s="176"/>
      <c r="P62" s="177" cm="1">
        <f t="array" ref="P62">AWE*Res2S[[#This Row],[Damage Index]]*Inputs!C$30*Inputs!C$25</f>
        <v>27536.386758321281</v>
      </c>
      <c r="Q62" s="177" cm="1">
        <f t="array" ref="Q62">AWE*Res2S[[#This Row],[Damage Index]]*Inputs!D$30*Inputs!D$25</f>
        <v>55072.773516642563</v>
      </c>
      <c r="R62" s="177" cm="1">
        <f t="array" ref="R62">AWE*Res2S[[#This Row],[Damage Index]]*Inputs!E$30*Inputs!E$25</f>
        <v>73430.36468885676</v>
      </c>
      <c r="S62" s="177" cm="1">
        <f t="array" ref="S62">AWE*Res2S[[#This Row],[Damage Index]]*Inputs!F$30*Inputs!F$25</f>
        <v>67311.167631452015</v>
      </c>
      <c r="W62" s="50">
        <v>1.25</v>
      </c>
      <c r="X62" s="176">
        <v>0.88252401869346342</v>
      </c>
      <c r="Y62" s="176" cm="1">
        <f t="array" ref="Y62">AWE*Res1I[[#This Row],[Damage Index]]*Actual_to_Potential</f>
        <v>0.81975114529435522</v>
      </c>
      <c r="Z62" s="177" cm="1">
        <f t="array" ref="Z62">AWE*Res1I[[#This Row],[Adjusted Damage Index]]*Inputs!$C$38*Inputs!C$30+IF(Res1I[[#This Row],[Level (m)]]&gt;0,Cleanup,0)+VLOOKUP(Res1I[[#This Row],[Level (m)]],Relocation[],3,FALSE)</f>
        <v>53710.718318020132</v>
      </c>
      <c r="AA62" s="177" cm="1">
        <f t="array" ref="AA62">AWE*Res1I[[#This Row],[Adjusted Damage Index]]*Inputs!$C$38*Inputs!D$30+IF(Res1I[[#This Row],[Level (m)]]&gt;0,Cleanup,0)+VLOOKUP(Res1I[[#This Row],[Level (m)]],Relocation[],3,FALSE)</f>
        <v>91021.436636040264</v>
      </c>
      <c r="AB62" s="177" cm="1">
        <f t="array" ref="AB62">AWE*Res1I[[#This Row],[Adjusted Damage Index]]*Inputs!$C$38*Inputs!E$30+IF(Res1I[[#This Row],[Level (m)]]&gt;0,Cleanup,0)+VLOOKUP(Res1I[[#This Row],[Level (m)]],Relocation[],3,FALSE)</f>
        <v>115895.24884805368</v>
      </c>
      <c r="AC62" s="177" cm="1">
        <f t="array" ref="AC62">AWE*Res1I[[#This Row],[Adjusted Damage Index]]*Inputs!$C$38*Inputs!F$30+IF(Res1I[[#This Row],[Level (m)]]&gt;0,Cleanup,0)+VLOOKUP(Res1I[[#This Row],[Level (m)]],Relocation[],3,FALSE)</f>
        <v>107603.97811071588</v>
      </c>
      <c r="AG62" s="50">
        <v>1.25</v>
      </c>
      <c r="AH62" s="176">
        <v>0.39153439153439151</v>
      </c>
      <c r="AI62" s="176" cm="1">
        <f t="array" ref="AI62">AWE*Res2I[[#This Row],[Damage Index]]*Actual_to_Potential</f>
        <v>0.36368502055911606</v>
      </c>
      <c r="AJ62" s="177" cm="1">
        <f t="array" ref="AJ62">AWE*Res2I[[#This Row],[Adjusted Damage Index]]*Inputs!$C$38*Inputs!C$31+IF(Res2I[[#This Row],[Level (m)]]&gt;0,Cleanup,0)+VLOOKUP(Res2I[[#This Row],[Level (m)]],Relocation[],3,FALSE)</f>
        <v>32953.010552601394</v>
      </c>
      <c r="AK62" s="177" cm="1">
        <f t="array" ref="AK62">AWE*Res2I[[#This Row],[Adjusted Damage Index]]*Inputs!$C$38*Inputs!D$31+IF(Res2I[[#This Row],[Level (m)]]&gt;0,Cleanup,0)+VLOOKUP(Res2I[[#This Row],[Level (m)]],Relocation[],3,FALSE)</f>
        <v>49506.021105202788</v>
      </c>
      <c r="AL62" s="177" cm="1">
        <f t="array" ref="AL62">AWE*Res2I[[#This Row],[Adjusted Damage Index]]*Inputs!$C$38*Inputs!E$31+IF(Res2I[[#This Row],[Level (m)]]&gt;0,Cleanup,0)+VLOOKUP(Res2I[[#This Row],[Level (m)]],Relocation[],3,FALSE)</f>
        <v>60541.361473603713</v>
      </c>
      <c r="AM62" s="177" cm="1">
        <f t="array" ref="AM62">AWE*Res2I[[#This Row],[Adjusted Damage Index]]*Inputs!$C$38*Inputs!F$31+IF(Res2I[[#This Row],[Level (m)]]&gt;0,Cleanup,0)+VLOOKUP(Res2I[[#This Row],[Level (m)]],Relocation[],3,FALSE)</f>
        <v>56862.91468413674</v>
      </c>
    </row>
    <row r="63" spans="3:39" x14ac:dyDescent="0.3">
      <c r="C63" s="50">
        <v>1.3</v>
      </c>
      <c r="D63" s="176">
        <v>0.27527500000000005</v>
      </c>
      <c r="E63" s="176"/>
      <c r="F63" s="177" cm="1">
        <f t="array" ref="F63">AWE*Res1S[[#This Row],[Damage Index]]*Inputs!C$30*Inputs!C$25</f>
        <v>51139.003979739522</v>
      </c>
      <c r="G63" s="177" cm="1">
        <f t="array" ref="G63">AWE*Res1S[[#This Row],[Damage Index]]*Inputs!D$30*Inputs!D$25</f>
        <v>102278.00795947904</v>
      </c>
      <c r="H63" s="177" cm="1">
        <f t="array" ref="H63">AWE*Res1S[[#This Row],[Damage Index]]*Inputs!E$30*Inputs!E$25</f>
        <v>136370.67727930538</v>
      </c>
      <c r="I63" s="177" cm="1">
        <f t="array" ref="I63">AWE*Res1S[[#This Row],[Damage Index]]*Inputs!F$30*Inputs!F$25</f>
        <v>125006.4541726966</v>
      </c>
      <c r="M63" s="50">
        <v>1.3</v>
      </c>
      <c r="N63" s="176">
        <v>0.15140125000000004</v>
      </c>
      <c r="O63" s="176"/>
      <c r="P63" s="177" cm="1">
        <f t="array" ref="P63">AWE*Res2S[[#This Row],[Damage Index]]*Inputs!C$30*Inputs!C$25</f>
        <v>28126.452188856736</v>
      </c>
      <c r="Q63" s="177" cm="1">
        <f t="array" ref="Q63">AWE*Res2S[[#This Row],[Damage Index]]*Inputs!D$30*Inputs!D$25</f>
        <v>56252.904377713472</v>
      </c>
      <c r="R63" s="177" cm="1">
        <f t="array" ref="R63">AWE*Res2S[[#This Row],[Damage Index]]*Inputs!E$30*Inputs!E$25</f>
        <v>75003.872503617953</v>
      </c>
      <c r="S63" s="177" cm="1">
        <f t="array" ref="S63">AWE*Res2S[[#This Row],[Damage Index]]*Inputs!F$30*Inputs!F$25</f>
        <v>68753.549794983133</v>
      </c>
      <c r="W63" s="50">
        <v>1.3</v>
      </c>
      <c r="X63" s="176">
        <v>0.89054696431794944</v>
      </c>
      <c r="Y63" s="176" cm="1">
        <f t="array" ref="Y63">AWE*Res1I[[#This Row],[Damage Index]]*Actual_to_Potential</f>
        <v>0.82720342843339478</v>
      </c>
      <c r="Z63" s="177" cm="1">
        <f t="array" ref="Z63">AWE*Res1I[[#This Row],[Adjusted Damage Index]]*Inputs!$C$38*Inputs!C$30+IF(Res1I[[#This Row],[Level (m)]]&gt;0,Cleanup,0)+VLOOKUP(Res1I[[#This Row],[Level (m)]],Relocation[],3,FALSE)</f>
        <v>54049.906666365772</v>
      </c>
      <c r="AA63" s="177" cm="1">
        <f t="array" ref="AA63">AWE*Res1I[[#This Row],[Adjusted Damage Index]]*Inputs!$C$38*Inputs!D$30+IF(Res1I[[#This Row],[Level (m)]]&gt;0,Cleanup,0)+VLOOKUP(Res1I[[#This Row],[Level (m)]],Relocation[],3,FALSE)</f>
        <v>91699.813332731545</v>
      </c>
      <c r="AB63" s="177" cm="1">
        <f t="array" ref="AB63">AWE*Res1I[[#This Row],[Adjusted Damage Index]]*Inputs!$C$38*Inputs!E$30+IF(Res1I[[#This Row],[Level (m)]]&gt;0,Cleanup,0)+VLOOKUP(Res1I[[#This Row],[Level (m)]],Relocation[],3,FALSE)</f>
        <v>116799.75111030872</v>
      </c>
      <c r="AC63" s="177" cm="1">
        <f t="array" ref="AC63">AWE*Res1I[[#This Row],[Adjusted Damage Index]]*Inputs!$C$38*Inputs!F$30+IF(Res1I[[#This Row],[Level (m)]]&gt;0,Cleanup,0)+VLOOKUP(Res1I[[#This Row],[Level (m)]],Relocation[],3,FALSE)</f>
        <v>108433.10518444965</v>
      </c>
      <c r="AG63" s="50">
        <v>1.3</v>
      </c>
      <c r="AH63" s="176">
        <v>0.39365079365079364</v>
      </c>
      <c r="AI63" s="176" cm="1">
        <f t="array" ref="AI63">AWE*Res2I[[#This Row],[Damage Index]]*Actual_to_Potential</f>
        <v>0.36565088553511127</v>
      </c>
      <c r="AJ63" s="177" cm="1">
        <f t="array" ref="AJ63">AWE*Res2I[[#This Row],[Adjusted Damage Index]]*Inputs!$C$38*Inputs!C$31+IF(Res2I[[#This Row],[Level (m)]]&gt;0,Cleanup,0)+VLOOKUP(Res2I[[#This Row],[Level (m)]],Relocation[],3,FALSE)</f>
        <v>33042.486285318155</v>
      </c>
      <c r="AK63" s="177" cm="1">
        <f t="array" ref="AK63">AWE*Res2I[[#This Row],[Adjusted Damage Index]]*Inputs!$C$38*Inputs!D$31+IF(Res2I[[#This Row],[Level (m)]]&gt;0,Cleanup,0)+VLOOKUP(Res2I[[#This Row],[Level (m)]],Relocation[],3,FALSE)</f>
        <v>49684.972570636317</v>
      </c>
      <c r="AL63" s="177" cm="1">
        <f t="array" ref="AL63">AWE*Res2I[[#This Row],[Adjusted Damage Index]]*Inputs!$C$38*Inputs!E$31+IF(Res2I[[#This Row],[Level (m)]]&gt;0,Cleanup,0)+VLOOKUP(Res2I[[#This Row],[Level (m)]],Relocation[],3,FALSE)</f>
        <v>60779.963427515089</v>
      </c>
      <c r="AM63" s="177" cm="1">
        <f t="array" ref="AM63">AWE*Res2I[[#This Row],[Adjusted Damage Index]]*Inputs!$C$38*Inputs!F$31+IF(Res2I[[#This Row],[Level (m)]]&gt;0,Cleanup,0)+VLOOKUP(Res2I[[#This Row],[Level (m)]],Relocation[],3,FALSE)</f>
        <v>57081.633141888829</v>
      </c>
    </row>
    <row r="64" spans="3:39" x14ac:dyDescent="0.3">
      <c r="C64" s="50">
        <v>1.35</v>
      </c>
      <c r="D64" s="176">
        <v>0.28105000000000008</v>
      </c>
      <c r="E64" s="176"/>
      <c r="F64" s="177" cm="1">
        <f t="array" ref="F64">AWE*Res1S[[#This Row],[Damage Index]]*Inputs!C$30*Inputs!C$25</f>
        <v>52211.85021707671</v>
      </c>
      <c r="G64" s="177" cm="1">
        <f t="array" ref="G64">AWE*Res1S[[#This Row],[Damage Index]]*Inputs!D$30*Inputs!D$25</f>
        <v>104423.70043415342</v>
      </c>
      <c r="H64" s="177" cm="1">
        <f t="array" ref="H64">AWE*Res1S[[#This Row],[Damage Index]]*Inputs!E$30*Inputs!E$25</f>
        <v>139231.60057887124</v>
      </c>
      <c r="I64" s="177" cm="1">
        <f t="array" ref="I64">AWE*Res1S[[#This Row],[Damage Index]]*Inputs!F$30*Inputs!F$25</f>
        <v>127628.96719729863</v>
      </c>
      <c r="M64" s="50">
        <v>1.35</v>
      </c>
      <c r="N64" s="176">
        <v>0.15457750000000003</v>
      </c>
      <c r="O64" s="176"/>
      <c r="P64" s="177" cm="1">
        <f t="array" ref="P64">AWE*Res2S[[#This Row],[Damage Index]]*Inputs!C$30*Inputs!C$25</f>
        <v>28716.517619392187</v>
      </c>
      <c r="Q64" s="177" cm="1">
        <f t="array" ref="Q64">AWE*Res2S[[#This Row],[Damage Index]]*Inputs!D$30*Inputs!D$25</f>
        <v>57433.035238784374</v>
      </c>
      <c r="R64" s="177" cm="1">
        <f t="array" ref="R64">AWE*Res2S[[#This Row],[Damage Index]]*Inputs!E$30*Inputs!E$25</f>
        <v>76577.380318379175</v>
      </c>
      <c r="S64" s="177" cm="1">
        <f t="array" ref="S64">AWE*Res2S[[#This Row],[Damage Index]]*Inputs!F$30*Inputs!F$25</f>
        <v>70195.931958514237</v>
      </c>
      <c r="W64" s="50">
        <v>1.35</v>
      </c>
      <c r="X64" s="176">
        <v>0.89856990994243557</v>
      </c>
      <c r="Y64" s="176" cm="1">
        <f t="array" ref="Y64">AWE*Res1I[[#This Row],[Damage Index]]*Actual_to_Potential</f>
        <v>0.83465571157243457</v>
      </c>
      <c r="Z64" s="177" cm="1">
        <f t="array" ref="Z64">AWE*Res1I[[#This Row],[Adjusted Damage Index]]*Inputs!$C$38*Inputs!C$30+IF(Res1I[[#This Row],[Level (m)]]&gt;0,Cleanup,0)+VLOOKUP(Res1I[[#This Row],[Level (m)]],Relocation[],3,FALSE)</f>
        <v>54389.095014711413</v>
      </c>
      <c r="AA64" s="177" cm="1">
        <f t="array" ref="AA64">AWE*Res1I[[#This Row],[Adjusted Damage Index]]*Inputs!$C$38*Inputs!D$30+IF(Res1I[[#This Row],[Level (m)]]&gt;0,Cleanup,0)+VLOOKUP(Res1I[[#This Row],[Level (m)]],Relocation[],3,FALSE)</f>
        <v>92378.190029422825</v>
      </c>
      <c r="AB64" s="177" cm="1">
        <f t="array" ref="AB64">AWE*Res1I[[#This Row],[Adjusted Damage Index]]*Inputs!$C$38*Inputs!E$30+IF(Res1I[[#This Row],[Level (m)]]&gt;0,Cleanup,0)+VLOOKUP(Res1I[[#This Row],[Level (m)]],Relocation[],3,FALSE)</f>
        <v>117704.25337256378</v>
      </c>
      <c r="AC64" s="177" cm="1">
        <f t="array" ref="AC64">AWE*Res1I[[#This Row],[Adjusted Damage Index]]*Inputs!$C$38*Inputs!F$30+IF(Res1I[[#This Row],[Level (m)]]&gt;0,Cleanup,0)+VLOOKUP(Res1I[[#This Row],[Level (m)]],Relocation[],3,FALSE)</f>
        <v>109262.23225818346</v>
      </c>
      <c r="AG64" s="50">
        <v>1.35</v>
      </c>
      <c r="AH64" s="176">
        <v>0.39576719576719577</v>
      </c>
      <c r="AI64" s="176" cm="1">
        <f t="array" ref="AI64">AWE*Res2I[[#This Row],[Damage Index]]*Actual_to_Potential</f>
        <v>0.36761675051110654</v>
      </c>
      <c r="AJ64" s="177" cm="1">
        <f t="array" ref="AJ64">AWE*Res2I[[#This Row],[Adjusted Damage Index]]*Inputs!$C$38*Inputs!C$31+IF(Res2I[[#This Row],[Level (m)]]&gt;0,Cleanup,0)+VLOOKUP(Res2I[[#This Row],[Level (m)]],Relocation[],3,FALSE)</f>
        <v>33131.962018034923</v>
      </c>
      <c r="AK64" s="177" cm="1">
        <f t="array" ref="AK64">AWE*Res2I[[#This Row],[Adjusted Damage Index]]*Inputs!$C$38*Inputs!D$31+IF(Res2I[[#This Row],[Level (m)]]&gt;0,Cleanup,0)+VLOOKUP(Res2I[[#This Row],[Level (m)]],Relocation[],3,FALSE)</f>
        <v>49863.924036069846</v>
      </c>
      <c r="AL64" s="177" cm="1">
        <f t="array" ref="AL64">AWE*Res2I[[#This Row],[Adjusted Damage Index]]*Inputs!$C$38*Inputs!E$31+IF(Res2I[[#This Row],[Level (m)]]&gt;0,Cleanup,0)+VLOOKUP(Res2I[[#This Row],[Level (m)]],Relocation[],3,FALSE)</f>
        <v>61018.565381426466</v>
      </c>
      <c r="AM64" s="177" cm="1">
        <f t="array" ref="AM64">AWE*Res2I[[#This Row],[Adjusted Damage Index]]*Inputs!$C$38*Inputs!F$31+IF(Res2I[[#This Row],[Level (m)]]&gt;0,Cleanup,0)+VLOOKUP(Res2I[[#This Row],[Level (m)]],Relocation[],3,FALSE)</f>
        <v>57300.351599640926</v>
      </c>
    </row>
    <row r="65" spans="3:39" x14ac:dyDescent="0.3">
      <c r="C65" s="50">
        <v>1.4</v>
      </c>
      <c r="D65" s="176">
        <v>0.28682500000000005</v>
      </c>
      <c r="E65" s="176"/>
      <c r="F65" s="177" cm="1">
        <f t="array" ref="F65">AWE*Res1S[[#This Row],[Damage Index]]*Inputs!C$30*Inputs!C$25</f>
        <v>53284.696454413905</v>
      </c>
      <c r="G65" s="177" cm="1">
        <f t="array" ref="G65">AWE*Res1S[[#This Row],[Damage Index]]*Inputs!D$30*Inputs!D$25</f>
        <v>106569.39290882781</v>
      </c>
      <c r="H65" s="177" cm="1">
        <f t="array" ref="H65">AWE*Res1S[[#This Row],[Damage Index]]*Inputs!E$30*Inputs!E$25</f>
        <v>142092.52387843709</v>
      </c>
      <c r="I65" s="177" cm="1">
        <f t="array" ref="I65">AWE*Res1S[[#This Row],[Damage Index]]*Inputs!F$30*Inputs!F$25</f>
        <v>130251.48022190067</v>
      </c>
      <c r="M65" s="50">
        <v>1.4</v>
      </c>
      <c r="N65" s="176">
        <v>0.15775375000000003</v>
      </c>
      <c r="O65" s="176"/>
      <c r="P65" s="177" cm="1">
        <f t="array" ref="P65">AWE*Res2S[[#This Row],[Damage Index]]*Inputs!C$30*Inputs!C$25</f>
        <v>29306.583049927645</v>
      </c>
      <c r="Q65" s="177" cm="1">
        <f t="array" ref="Q65">AWE*Res2S[[#This Row],[Damage Index]]*Inputs!D$30*Inputs!D$25</f>
        <v>58613.166099855291</v>
      </c>
      <c r="R65" s="177" cm="1">
        <f t="array" ref="R65">AWE*Res2S[[#This Row],[Damage Index]]*Inputs!E$30*Inputs!E$25</f>
        <v>78150.888133140383</v>
      </c>
      <c r="S65" s="177" cm="1">
        <f t="array" ref="S65">AWE*Res2S[[#This Row],[Damage Index]]*Inputs!F$30*Inputs!F$25</f>
        <v>71638.314122045354</v>
      </c>
      <c r="W65" s="50">
        <v>1.4</v>
      </c>
      <c r="X65" s="176">
        <v>0.90659285556692148</v>
      </c>
      <c r="Y65" s="176" cm="1">
        <f t="array" ref="Y65">AWE*Res1I[[#This Row],[Damage Index]]*Actual_to_Potential</f>
        <v>0.84210799471147402</v>
      </c>
      <c r="Z65" s="177" cm="1">
        <f t="array" ref="Z65">AWE*Res1I[[#This Row],[Adjusted Damage Index]]*Inputs!$C$38*Inputs!C$30+IF(Res1I[[#This Row],[Level (m)]]&gt;0,Cleanup,0)+VLOOKUP(Res1I[[#This Row],[Level (m)]],Relocation[],3,FALSE)</f>
        <v>54728.283363057046</v>
      </c>
      <c r="AA65" s="177" cm="1">
        <f t="array" ref="AA65">AWE*Res1I[[#This Row],[Adjusted Damage Index]]*Inputs!$C$38*Inputs!D$30+IF(Res1I[[#This Row],[Level (m)]]&gt;0,Cleanup,0)+VLOOKUP(Res1I[[#This Row],[Level (m)]],Relocation[],3,FALSE)</f>
        <v>93056.566726114092</v>
      </c>
      <c r="AB65" s="177" cm="1">
        <f t="array" ref="AB65">AWE*Res1I[[#This Row],[Adjusted Damage Index]]*Inputs!$C$38*Inputs!E$30+IF(Res1I[[#This Row],[Level (m)]]&gt;0,Cleanup,0)+VLOOKUP(Res1I[[#This Row],[Level (m)]],Relocation[],3,FALSE)</f>
        <v>118608.75563481879</v>
      </c>
      <c r="AC65" s="177" cm="1">
        <f t="array" ref="AC65">AWE*Res1I[[#This Row],[Adjusted Damage Index]]*Inputs!$C$38*Inputs!F$30+IF(Res1I[[#This Row],[Level (m)]]&gt;0,Cleanup,0)+VLOOKUP(Res1I[[#This Row],[Level (m)]],Relocation[],3,FALSE)</f>
        <v>110091.35933191722</v>
      </c>
      <c r="AG65" s="50">
        <v>1.4</v>
      </c>
      <c r="AH65" s="176">
        <v>0.39788359788359789</v>
      </c>
      <c r="AI65" s="176" cm="1">
        <f t="array" ref="AI65">AWE*Res2I[[#This Row],[Damage Index]]*Actual_to_Potential</f>
        <v>0.36958261548710175</v>
      </c>
      <c r="AJ65" s="177" cm="1">
        <f t="array" ref="AJ65">AWE*Res2I[[#This Row],[Adjusted Damage Index]]*Inputs!$C$38*Inputs!C$31+IF(Res2I[[#This Row],[Level (m)]]&gt;0,Cleanup,0)+VLOOKUP(Res2I[[#This Row],[Level (m)]],Relocation[],3,FALSE)</f>
        <v>33221.437750751691</v>
      </c>
      <c r="AK65" s="177" cm="1">
        <f t="array" ref="AK65">AWE*Res2I[[#This Row],[Adjusted Damage Index]]*Inputs!$C$38*Inputs!D$31+IF(Res2I[[#This Row],[Level (m)]]&gt;0,Cleanup,0)+VLOOKUP(Res2I[[#This Row],[Level (m)]],Relocation[],3,FALSE)</f>
        <v>50042.875501503375</v>
      </c>
      <c r="AL65" s="177" cm="1">
        <f t="array" ref="AL65">AWE*Res2I[[#This Row],[Adjusted Damage Index]]*Inputs!$C$38*Inputs!E$31+IF(Res2I[[#This Row],[Level (m)]]&gt;0,Cleanup,0)+VLOOKUP(Res2I[[#This Row],[Level (m)]],Relocation[],3,FALSE)</f>
        <v>61257.167335337836</v>
      </c>
      <c r="AM65" s="177" cm="1">
        <f t="array" ref="AM65">AWE*Res2I[[#This Row],[Adjusted Damage Index]]*Inputs!$C$38*Inputs!F$31+IF(Res2I[[#This Row],[Level (m)]]&gt;0,Cleanup,0)+VLOOKUP(Res2I[[#This Row],[Level (m)]],Relocation[],3,FALSE)</f>
        <v>57519.070057393015</v>
      </c>
    </row>
    <row r="66" spans="3:39" x14ac:dyDescent="0.3">
      <c r="C66" s="50">
        <v>1.45</v>
      </c>
      <c r="D66" s="176">
        <v>0.29260000000000003</v>
      </c>
      <c r="E66" s="176"/>
      <c r="F66" s="177" cm="1">
        <f t="array" ref="F66">AWE*Res1S[[#This Row],[Damage Index]]*Inputs!C$30*Inputs!C$25</f>
        <v>54357.542691751085</v>
      </c>
      <c r="G66" s="177" cm="1">
        <f t="array" ref="G66">AWE*Res1S[[#This Row],[Damage Index]]*Inputs!D$30*Inputs!D$25</f>
        <v>108715.08538350217</v>
      </c>
      <c r="H66" s="177" cm="1">
        <f t="array" ref="H66">AWE*Res1S[[#This Row],[Damage Index]]*Inputs!E$30*Inputs!E$25</f>
        <v>144953.44717800291</v>
      </c>
      <c r="I66" s="177" cm="1">
        <f t="array" ref="I66">AWE*Res1S[[#This Row],[Damage Index]]*Inputs!F$30*Inputs!F$25</f>
        <v>132873.99324650265</v>
      </c>
      <c r="M66" s="50">
        <v>1.45</v>
      </c>
      <c r="N66" s="176">
        <v>0.16093000000000005</v>
      </c>
      <c r="O66" s="176"/>
      <c r="P66" s="177" cm="1">
        <f t="array" ref="P66">AWE*Res2S[[#This Row],[Damage Index]]*Inputs!C$30*Inputs!C$25</f>
        <v>29896.648480463104</v>
      </c>
      <c r="Q66" s="177" cm="1">
        <f t="array" ref="Q66">AWE*Res2S[[#This Row],[Damage Index]]*Inputs!D$30*Inputs!D$25</f>
        <v>59793.296960926207</v>
      </c>
      <c r="R66" s="177" cm="1">
        <f t="array" ref="R66">AWE*Res2S[[#This Row],[Damage Index]]*Inputs!E$30*Inputs!E$25</f>
        <v>79724.395947901619</v>
      </c>
      <c r="S66" s="177" cm="1">
        <f t="array" ref="S66">AWE*Res2S[[#This Row],[Damage Index]]*Inputs!F$30*Inputs!F$25</f>
        <v>73080.696285576472</v>
      </c>
      <c r="W66" s="50">
        <v>1.45</v>
      </c>
      <c r="X66" s="176">
        <v>0.91461580119140762</v>
      </c>
      <c r="Y66" s="176" cm="1">
        <f t="array" ref="Y66">AWE*Res1I[[#This Row],[Damage Index]]*Actual_to_Potential</f>
        <v>0.84956027785051369</v>
      </c>
      <c r="Z66" s="177" cm="1">
        <f t="array" ref="Z66">AWE*Res1I[[#This Row],[Adjusted Damage Index]]*Inputs!$C$38*Inputs!C$30+IF(Res1I[[#This Row],[Level (m)]]&gt;0,Cleanup,0)+VLOOKUP(Res1I[[#This Row],[Level (m)]],Relocation[],3,FALSE)</f>
        <v>55067.471711402686</v>
      </c>
      <c r="AA66" s="177" cm="1">
        <f t="array" ref="AA66">AWE*Res1I[[#This Row],[Adjusted Damage Index]]*Inputs!$C$38*Inputs!D$30+IF(Res1I[[#This Row],[Level (m)]]&gt;0,Cleanup,0)+VLOOKUP(Res1I[[#This Row],[Level (m)]],Relocation[],3,FALSE)</f>
        <v>93734.943422805372</v>
      </c>
      <c r="AB66" s="177" cm="1">
        <f t="array" ref="AB66">AWE*Res1I[[#This Row],[Adjusted Damage Index]]*Inputs!$C$38*Inputs!E$30+IF(Res1I[[#This Row],[Level (m)]]&gt;0,Cleanup,0)+VLOOKUP(Res1I[[#This Row],[Level (m)]],Relocation[],3,FALSE)</f>
        <v>119513.25789707383</v>
      </c>
      <c r="AC66" s="177" cm="1">
        <f t="array" ref="AC66">AWE*Res1I[[#This Row],[Adjusted Damage Index]]*Inputs!$C$38*Inputs!F$30+IF(Res1I[[#This Row],[Level (m)]]&gt;0,Cleanup,0)+VLOOKUP(Res1I[[#This Row],[Level (m)]],Relocation[],3,FALSE)</f>
        <v>110920.48640565101</v>
      </c>
      <c r="AG66" s="50">
        <v>1.45</v>
      </c>
      <c r="AH66" s="176">
        <v>0.4</v>
      </c>
      <c r="AI66" s="176" cm="1">
        <f t="array" ref="AI66">AWE*Res2I[[#This Row],[Damage Index]]*Actual_to_Potential</f>
        <v>0.37154848046309696</v>
      </c>
      <c r="AJ66" s="177" cm="1">
        <f t="array" ref="AJ66">AWE*Res2I[[#This Row],[Adjusted Damage Index]]*Inputs!$C$38*Inputs!C$31+IF(Res2I[[#This Row],[Level (m)]]&gt;0,Cleanup,0)+VLOOKUP(Res2I[[#This Row],[Level (m)]],Relocation[],3,FALSE)</f>
        <v>33310.913483468452</v>
      </c>
      <c r="AK66" s="177" cm="1">
        <f t="array" ref="AK66">AWE*Res2I[[#This Row],[Adjusted Damage Index]]*Inputs!$C$38*Inputs!D$31+IF(Res2I[[#This Row],[Level (m)]]&gt;0,Cleanup,0)+VLOOKUP(Res2I[[#This Row],[Level (m)]],Relocation[],3,FALSE)</f>
        <v>50221.826966936904</v>
      </c>
      <c r="AL66" s="177" cm="1">
        <f t="array" ref="AL66">AWE*Res2I[[#This Row],[Adjusted Damage Index]]*Inputs!$C$38*Inputs!E$31+IF(Res2I[[#This Row],[Level (m)]]&gt;0,Cleanup,0)+VLOOKUP(Res2I[[#This Row],[Level (m)]],Relocation[],3,FALSE)</f>
        <v>61495.769289249205</v>
      </c>
      <c r="AM66" s="177" cm="1">
        <f t="array" ref="AM66">AWE*Res2I[[#This Row],[Adjusted Damage Index]]*Inputs!$C$38*Inputs!F$31+IF(Res2I[[#This Row],[Level (m)]]&gt;0,Cleanup,0)+VLOOKUP(Res2I[[#This Row],[Level (m)]],Relocation[],3,FALSE)</f>
        <v>57737.788515145105</v>
      </c>
    </row>
    <row r="67" spans="3:39" x14ac:dyDescent="0.3">
      <c r="C67" s="50">
        <v>1.5</v>
      </c>
      <c r="D67" s="176">
        <v>0.29837500000000006</v>
      </c>
      <c r="E67" s="176"/>
      <c r="F67" s="177" cm="1">
        <f t="array" ref="F67">AWE*Res1S[[#This Row],[Damage Index]]*Inputs!C$30*Inputs!C$25</f>
        <v>55430.388929088287</v>
      </c>
      <c r="G67" s="177" cm="1">
        <f t="array" ref="G67">AWE*Res1S[[#This Row],[Damage Index]]*Inputs!D$30*Inputs!D$25</f>
        <v>110860.77785817657</v>
      </c>
      <c r="H67" s="177" cm="1">
        <f t="array" ref="H67">AWE*Res1S[[#This Row],[Damage Index]]*Inputs!E$30*Inputs!E$25</f>
        <v>147814.37047756877</v>
      </c>
      <c r="I67" s="177" cm="1">
        <f t="array" ref="I67">AWE*Res1S[[#This Row],[Damage Index]]*Inputs!F$30*Inputs!F$25</f>
        <v>135496.50627110471</v>
      </c>
      <c r="M67" s="50">
        <v>1.5</v>
      </c>
      <c r="N67" s="176">
        <v>0.16410625000000004</v>
      </c>
      <c r="O67" s="176"/>
      <c r="P67" s="177" cm="1">
        <f t="array" ref="P67">AWE*Res2S[[#This Row],[Damage Index]]*Inputs!C$30*Inputs!C$25</f>
        <v>30486.713910998558</v>
      </c>
      <c r="Q67" s="177" cm="1">
        <f t="array" ref="Q67">AWE*Res2S[[#This Row],[Damage Index]]*Inputs!D$30*Inputs!D$25</f>
        <v>60973.427821997117</v>
      </c>
      <c r="R67" s="177" cm="1">
        <f t="array" ref="R67">AWE*Res2S[[#This Row],[Damage Index]]*Inputs!E$30*Inputs!E$25</f>
        <v>81297.903762662827</v>
      </c>
      <c r="S67" s="177" cm="1">
        <f t="array" ref="S67">AWE*Res2S[[#This Row],[Damage Index]]*Inputs!F$30*Inputs!F$25</f>
        <v>74523.07844910759</v>
      </c>
      <c r="W67" s="50">
        <v>1.5</v>
      </c>
      <c r="X67" s="176">
        <v>0.92263874681589364</v>
      </c>
      <c r="Y67" s="176" cm="1">
        <f t="array" ref="Y67">AWE*Res1I[[#This Row],[Damage Index]]*Actual_to_Potential</f>
        <v>0.85701256098955325</v>
      </c>
      <c r="Z67" s="177" cm="1">
        <f t="array" ref="Z67">AWE*Res1I[[#This Row],[Adjusted Damage Index]]*Inputs!$C$38*Inputs!C$30+IF(Res1I[[#This Row],[Level (m)]]&gt;0,Cleanup,0)+VLOOKUP(Res1I[[#This Row],[Level (m)]],Relocation[],3,FALSE)</f>
        <v>55406.660059748319</v>
      </c>
      <c r="AA67" s="177" cm="1">
        <f t="array" ref="AA67">AWE*Res1I[[#This Row],[Adjusted Damage Index]]*Inputs!$C$38*Inputs!D$30+IF(Res1I[[#This Row],[Level (m)]]&gt;0,Cleanup,0)+VLOOKUP(Res1I[[#This Row],[Level (m)]],Relocation[],3,FALSE)</f>
        <v>94413.320119496639</v>
      </c>
      <c r="AB67" s="177" cm="1">
        <f t="array" ref="AB67">AWE*Res1I[[#This Row],[Adjusted Damage Index]]*Inputs!$C$38*Inputs!E$30+IF(Res1I[[#This Row],[Level (m)]]&gt;0,Cleanup,0)+VLOOKUP(Res1I[[#This Row],[Level (m)]],Relocation[],3,FALSE)</f>
        <v>120417.76015932886</v>
      </c>
      <c r="AC67" s="177" cm="1">
        <f t="array" ref="AC67">AWE*Res1I[[#This Row],[Adjusted Damage Index]]*Inputs!$C$38*Inputs!F$30+IF(Res1I[[#This Row],[Level (m)]]&gt;0,Cleanup,0)+VLOOKUP(Res1I[[#This Row],[Level (m)]],Relocation[],3,FALSE)</f>
        <v>111749.61347938479</v>
      </c>
      <c r="AG67" s="50">
        <v>1.5</v>
      </c>
      <c r="AH67" s="176">
        <v>0.40211640211640215</v>
      </c>
      <c r="AI67" s="176" cm="1">
        <f t="array" ref="AI67">AWE*Res2I[[#This Row],[Damage Index]]*Actual_to_Potential</f>
        <v>0.37351434543909223</v>
      </c>
      <c r="AJ67" s="177" cm="1">
        <f t="array" ref="AJ67">AWE*Res2I[[#This Row],[Adjusted Damage Index]]*Inputs!$C$38*Inputs!C$31+IF(Res2I[[#This Row],[Level (m)]]&gt;0,Cleanup,0)+VLOOKUP(Res2I[[#This Row],[Level (m)]],Relocation[],3,FALSE)</f>
        <v>33400.389216185213</v>
      </c>
      <c r="AK67" s="177" cm="1">
        <f t="array" ref="AK67">AWE*Res2I[[#This Row],[Adjusted Damage Index]]*Inputs!$C$38*Inputs!D$31+IF(Res2I[[#This Row],[Level (m)]]&gt;0,Cleanup,0)+VLOOKUP(Res2I[[#This Row],[Level (m)]],Relocation[],3,FALSE)</f>
        <v>50400.778432370433</v>
      </c>
      <c r="AL67" s="177" cm="1">
        <f t="array" ref="AL67">AWE*Res2I[[#This Row],[Adjusted Damage Index]]*Inputs!$C$38*Inputs!E$31+IF(Res2I[[#This Row],[Level (m)]]&gt;0,Cleanup,0)+VLOOKUP(Res2I[[#This Row],[Level (m)]],Relocation[],3,FALSE)</f>
        <v>61734.371243160582</v>
      </c>
      <c r="AM67" s="177" cm="1">
        <f t="array" ref="AM67">AWE*Res2I[[#This Row],[Adjusted Damage Index]]*Inputs!$C$38*Inputs!F$31+IF(Res2I[[#This Row],[Level (m)]]&gt;0,Cleanup,0)+VLOOKUP(Res2I[[#This Row],[Level (m)]],Relocation[],3,FALSE)</f>
        <v>57956.506972897201</v>
      </c>
    </row>
    <row r="68" spans="3:39" x14ac:dyDescent="0.3">
      <c r="C68" s="50">
        <v>1.55</v>
      </c>
      <c r="D68" s="176">
        <v>0.29965833333333342</v>
      </c>
      <c r="E68" s="176"/>
      <c r="F68" s="177" cm="1">
        <f t="array" ref="F68">AWE*Res1S[[#This Row],[Damage Index]]*Inputs!C$30*Inputs!C$25</f>
        <v>55668.799204052113</v>
      </c>
      <c r="G68" s="177" cm="1">
        <f t="array" ref="G68">AWE*Res1S[[#This Row],[Damage Index]]*Inputs!D$30*Inputs!D$25</f>
        <v>111337.59840810423</v>
      </c>
      <c r="H68" s="177" cm="1">
        <f t="array" ref="H68">AWE*Res1S[[#This Row],[Damage Index]]*Inputs!E$30*Inputs!E$25</f>
        <v>148450.13121080564</v>
      </c>
      <c r="I68" s="177" cm="1">
        <f t="array" ref="I68">AWE*Res1S[[#This Row],[Damage Index]]*Inputs!F$30*Inputs!F$25</f>
        <v>136079.28694323849</v>
      </c>
      <c r="M68" s="50">
        <v>1.55</v>
      </c>
      <c r="N68" s="176">
        <v>0.16481208333333336</v>
      </c>
      <c r="O68" s="176"/>
      <c r="P68" s="177" cm="1">
        <f t="array" ref="P68">AWE*Res2S[[#This Row],[Damage Index]]*Inputs!C$30*Inputs!C$25</f>
        <v>30617.839562228655</v>
      </c>
      <c r="Q68" s="177" cm="1">
        <f t="array" ref="Q68">AWE*Res2S[[#This Row],[Damage Index]]*Inputs!D$30*Inputs!D$25</f>
        <v>61235.679124457311</v>
      </c>
      <c r="R68" s="177" cm="1">
        <f t="array" ref="R68">AWE*Res2S[[#This Row],[Damage Index]]*Inputs!E$30*Inputs!E$25</f>
        <v>81647.572165943086</v>
      </c>
      <c r="S68" s="177" cm="1">
        <f t="array" ref="S68">AWE*Res2S[[#This Row],[Damage Index]]*Inputs!F$30*Inputs!F$25</f>
        <v>74843.607818781165</v>
      </c>
      <c r="W68" s="50">
        <v>1.55</v>
      </c>
      <c r="X68" s="176">
        <v>0.93066169244037966</v>
      </c>
      <c r="Y68" s="176" cm="1">
        <f t="array" ref="Y68">AWE*Res1I[[#This Row],[Damage Index]]*Actual_to_Potential</f>
        <v>0.86446484412859281</v>
      </c>
      <c r="Z68" s="177" cm="1">
        <f t="array" ref="Z68">AWE*Res1I[[#This Row],[Adjusted Damage Index]]*Inputs!$C$38*Inputs!C$30+IF(Res1I[[#This Row],[Level (m)]]&gt;0,Cleanup,0)+VLOOKUP(Res1I[[#This Row],[Level (m)]],Relocation[],3,FALSE)</f>
        <v>55745.84840809396</v>
      </c>
      <c r="AA68" s="177" cm="1">
        <f t="array" ref="AA68">AWE*Res1I[[#This Row],[Adjusted Damage Index]]*Inputs!$C$38*Inputs!D$30+IF(Res1I[[#This Row],[Level (m)]]&gt;0,Cleanup,0)+VLOOKUP(Res1I[[#This Row],[Level (m)]],Relocation[],3,FALSE)</f>
        <v>95091.696816187919</v>
      </c>
      <c r="AB68" s="177" cm="1">
        <f t="array" ref="AB68">AWE*Res1I[[#This Row],[Adjusted Damage Index]]*Inputs!$C$38*Inputs!E$30+IF(Res1I[[#This Row],[Level (m)]]&gt;0,Cleanup,0)+VLOOKUP(Res1I[[#This Row],[Level (m)]],Relocation[],3,FALSE)</f>
        <v>121322.26242158389</v>
      </c>
      <c r="AC68" s="177" cm="1">
        <f t="array" ref="AC68">AWE*Res1I[[#This Row],[Adjusted Damage Index]]*Inputs!$C$38*Inputs!F$30+IF(Res1I[[#This Row],[Level (m)]]&gt;0,Cleanup,0)+VLOOKUP(Res1I[[#This Row],[Level (m)]],Relocation[],3,FALSE)</f>
        <v>112578.74055311857</v>
      </c>
      <c r="AG68" s="50">
        <v>1.55</v>
      </c>
      <c r="AH68" s="176">
        <v>0.40423280423280428</v>
      </c>
      <c r="AI68" s="176" cm="1">
        <f t="array" ref="AI68">AWE*Res2I[[#This Row],[Damage Index]]*Actual_to_Potential</f>
        <v>0.37548021041508745</v>
      </c>
      <c r="AJ68" s="177" cm="1">
        <f t="array" ref="AJ68">AWE*Res2I[[#This Row],[Adjusted Damage Index]]*Inputs!$C$38*Inputs!C$31+IF(Res2I[[#This Row],[Level (m)]]&gt;0,Cleanup,0)+VLOOKUP(Res2I[[#This Row],[Level (m)]],Relocation[],3,FALSE)</f>
        <v>33489.864948901981</v>
      </c>
      <c r="AK68" s="177" cm="1">
        <f t="array" ref="AK68">AWE*Res2I[[#This Row],[Adjusted Damage Index]]*Inputs!$C$38*Inputs!D$31+IF(Res2I[[#This Row],[Level (m)]]&gt;0,Cleanup,0)+VLOOKUP(Res2I[[#This Row],[Level (m)]],Relocation[],3,FALSE)</f>
        <v>50579.729897803962</v>
      </c>
      <c r="AL68" s="177" cm="1">
        <f t="array" ref="AL68">AWE*Res2I[[#This Row],[Adjusted Damage Index]]*Inputs!$C$38*Inputs!E$31+IF(Res2I[[#This Row],[Level (m)]]&gt;0,Cleanup,0)+VLOOKUP(Res2I[[#This Row],[Level (m)]],Relocation[],3,FALSE)</f>
        <v>61972.973197071951</v>
      </c>
      <c r="AM68" s="177" cm="1">
        <f t="array" ref="AM68">AWE*Res2I[[#This Row],[Adjusted Damage Index]]*Inputs!$C$38*Inputs!F$31+IF(Res2I[[#This Row],[Level (m)]]&gt;0,Cleanup,0)+VLOOKUP(Res2I[[#This Row],[Level (m)]],Relocation[],3,FALSE)</f>
        <v>58175.225430649291</v>
      </c>
    </row>
    <row r="69" spans="3:39" x14ac:dyDescent="0.3">
      <c r="C69" s="50">
        <v>1.6</v>
      </c>
      <c r="D69" s="176">
        <v>0.30094166666666672</v>
      </c>
      <c r="E69" s="176"/>
      <c r="F69" s="177" cm="1">
        <f t="array" ref="F69">AWE*Res1S[[#This Row],[Damage Index]]*Inputs!C$30*Inputs!C$25</f>
        <v>55907.209479015924</v>
      </c>
      <c r="G69" s="177" cm="1">
        <f t="array" ref="G69">AWE*Res1S[[#This Row],[Damage Index]]*Inputs!D$30*Inputs!D$25</f>
        <v>111814.41895803185</v>
      </c>
      <c r="H69" s="177" cm="1">
        <f t="array" ref="H69">AWE*Res1S[[#This Row],[Damage Index]]*Inputs!E$30*Inputs!E$25</f>
        <v>149085.89194404247</v>
      </c>
      <c r="I69" s="177" cm="1">
        <f t="array" ref="I69">AWE*Res1S[[#This Row],[Damage Index]]*Inputs!F$30*Inputs!F$25</f>
        <v>136662.06761537225</v>
      </c>
      <c r="M69" s="50">
        <v>1.6</v>
      </c>
      <c r="N69" s="176">
        <v>0.16551791666666671</v>
      </c>
      <c r="O69" s="176"/>
      <c r="P69" s="177" cm="1">
        <f t="array" ref="P69">AWE*Res2S[[#This Row],[Damage Index]]*Inputs!C$30*Inputs!C$25</f>
        <v>30748.96521345876</v>
      </c>
      <c r="Q69" s="177" cm="1">
        <f t="array" ref="Q69">AWE*Res2S[[#This Row],[Damage Index]]*Inputs!D$30*Inputs!D$25</f>
        <v>61497.930426917519</v>
      </c>
      <c r="R69" s="177" cm="1">
        <f t="array" ref="R69">AWE*Res2S[[#This Row],[Damage Index]]*Inputs!E$30*Inputs!E$25</f>
        <v>81997.240569223359</v>
      </c>
      <c r="S69" s="177" cm="1">
        <f t="array" ref="S69">AWE*Res2S[[#This Row],[Damage Index]]*Inputs!F$30*Inputs!F$25</f>
        <v>75164.137188454741</v>
      </c>
      <c r="W69" s="50">
        <v>1.6</v>
      </c>
      <c r="X69" s="176">
        <v>0.93868463806486568</v>
      </c>
      <c r="Y69" s="176" cm="1">
        <f t="array" ref="Y69">AWE*Res1I[[#This Row],[Damage Index]]*Actual_to_Potential</f>
        <v>0.87191712726763237</v>
      </c>
      <c r="Z69" s="177" cm="1">
        <f t="array" ref="Z69">AWE*Res1I[[#This Row],[Adjusted Damage Index]]*Inputs!$C$38*Inputs!C$30+IF(Res1I[[#This Row],[Level (m)]]&gt;0,Cleanup,0)+VLOOKUP(Res1I[[#This Row],[Level (m)]],Relocation[],3,FALSE)</f>
        <v>56085.0367564396</v>
      </c>
      <c r="AA69" s="177" cm="1">
        <f t="array" ref="AA69">AWE*Res1I[[#This Row],[Adjusted Damage Index]]*Inputs!$C$38*Inputs!D$30+IF(Res1I[[#This Row],[Level (m)]]&gt;0,Cleanup,0)+VLOOKUP(Res1I[[#This Row],[Level (m)]],Relocation[],3,FALSE)</f>
        <v>95770.0735128792</v>
      </c>
      <c r="AB69" s="177" cm="1">
        <f t="array" ref="AB69">AWE*Res1I[[#This Row],[Adjusted Damage Index]]*Inputs!$C$38*Inputs!E$30+IF(Res1I[[#This Row],[Level (m)]]&gt;0,Cleanup,0)+VLOOKUP(Res1I[[#This Row],[Level (m)]],Relocation[],3,FALSE)</f>
        <v>122226.76468383893</v>
      </c>
      <c r="AC69" s="177" cm="1">
        <f t="array" ref="AC69">AWE*Res1I[[#This Row],[Adjusted Damage Index]]*Inputs!$C$38*Inputs!F$30+IF(Res1I[[#This Row],[Level (m)]]&gt;0,Cleanup,0)+VLOOKUP(Res1I[[#This Row],[Level (m)]],Relocation[],3,FALSE)</f>
        <v>113407.86762685236</v>
      </c>
      <c r="AG69" s="50">
        <v>1.6</v>
      </c>
      <c r="AH69" s="176">
        <v>0.4063492063492064</v>
      </c>
      <c r="AI69" s="176" cm="1">
        <f t="array" ref="AI69">AWE*Res2I[[#This Row],[Damage Index]]*Actual_to_Potential</f>
        <v>0.37744607539108271</v>
      </c>
      <c r="AJ69" s="177" cm="1">
        <f t="array" ref="AJ69">AWE*Res2I[[#This Row],[Adjusted Damage Index]]*Inputs!$C$38*Inputs!C$31+IF(Res2I[[#This Row],[Level (m)]]&gt;0,Cleanup,0)+VLOOKUP(Res2I[[#This Row],[Level (m)]],Relocation[],3,FALSE)</f>
        <v>33579.340681618749</v>
      </c>
      <c r="AK69" s="177" cm="1">
        <f t="array" ref="AK69">AWE*Res2I[[#This Row],[Adjusted Damage Index]]*Inputs!$C$38*Inputs!D$31+IF(Res2I[[#This Row],[Level (m)]]&gt;0,Cleanup,0)+VLOOKUP(Res2I[[#This Row],[Level (m)]],Relocation[],3,FALSE)</f>
        <v>50758.681363237498</v>
      </c>
      <c r="AL69" s="177" cm="1">
        <f t="array" ref="AL69">AWE*Res2I[[#This Row],[Adjusted Damage Index]]*Inputs!$C$38*Inputs!E$31+IF(Res2I[[#This Row],[Level (m)]]&gt;0,Cleanup,0)+VLOOKUP(Res2I[[#This Row],[Level (m)]],Relocation[],3,FALSE)</f>
        <v>62211.575150983328</v>
      </c>
      <c r="AM69" s="177" cm="1">
        <f t="array" ref="AM69">AWE*Res2I[[#This Row],[Adjusted Damage Index]]*Inputs!$C$38*Inputs!F$31+IF(Res2I[[#This Row],[Level (m)]]&gt;0,Cleanup,0)+VLOOKUP(Res2I[[#This Row],[Level (m)]],Relocation[],3,FALSE)</f>
        <v>58393.943888401387</v>
      </c>
    </row>
    <row r="70" spans="3:39" x14ac:dyDescent="0.3">
      <c r="C70" s="50">
        <v>1.65</v>
      </c>
      <c r="D70" s="176">
        <v>0.30222500000000002</v>
      </c>
      <c r="E70" s="176"/>
      <c r="F70" s="177" cm="1">
        <f t="array" ref="F70">AWE*Res1S[[#This Row],[Damage Index]]*Inputs!C$30*Inputs!C$25</f>
        <v>56145.619753979736</v>
      </c>
      <c r="G70" s="177" cm="1">
        <f t="array" ref="G70">AWE*Res1S[[#This Row],[Damage Index]]*Inputs!D$30*Inputs!D$25</f>
        <v>112291.23950795947</v>
      </c>
      <c r="H70" s="177" cm="1">
        <f t="array" ref="H70">AWE*Res1S[[#This Row],[Damage Index]]*Inputs!E$30*Inputs!E$25</f>
        <v>149721.65267727931</v>
      </c>
      <c r="I70" s="177" cm="1">
        <f t="array" ref="I70">AWE*Res1S[[#This Row],[Damage Index]]*Inputs!F$30*Inputs!F$25</f>
        <v>137244.84828750603</v>
      </c>
      <c r="M70" s="50">
        <v>1.65</v>
      </c>
      <c r="N70" s="176">
        <v>0.16622375000000003</v>
      </c>
      <c r="O70" s="176"/>
      <c r="P70" s="177" cm="1">
        <f t="array" ref="P70">AWE*Res2S[[#This Row],[Damage Index]]*Inputs!C$30*Inputs!C$25</f>
        <v>30880.09086468886</v>
      </c>
      <c r="Q70" s="177" cm="1">
        <f t="array" ref="Q70">AWE*Res2S[[#This Row],[Damage Index]]*Inputs!D$30*Inputs!D$25</f>
        <v>61760.18172937772</v>
      </c>
      <c r="R70" s="177" cm="1">
        <f t="array" ref="R70">AWE*Res2S[[#This Row],[Damage Index]]*Inputs!E$30*Inputs!E$25</f>
        <v>82346.908972503632</v>
      </c>
      <c r="S70" s="177" cm="1">
        <f t="array" ref="S70">AWE*Res2S[[#This Row],[Damage Index]]*Inputs!F$30*Inputs!F$25</f>
        <v>75484.666558128331</v>
      </c>
      <c r="W70" s="50">
        <v>1.65</v>
      </c>
      <c r="X70" s="176">
        <v>0.94670758368935159</v>
      </c>
      <c r="Y70" s="176" cm="1">
        <f t="array" ref="Y70">AWE*Res1I[[#This Row],[Damage Index]]*Actual_to_Potential</f>
        <v>0.87936941040667194</v>
      </c>
      <c r="Z70" s="177" cm="1">
        <f t="array" ref="Z70">AWE*Res1I[[#This Row],[Adjusted Damage Index]]*Inputs!$C$38*Inputs!C$30+IF(Res1I[[#This Row],[Level (m)]]&gt;0,Cleanup,0)+VLOOKUP(Res1I[[#This Row],[Level (m)]],Relocation[],3,FALSE)</f>
        <v>56424.225104785233</v>
      </c>
      <c r="AA70" s="177" cm="1">
        <f t="array" ref="AA70">AWE*Res1I[[#This Row],[Adjusted Damage Index]]*Inputs!$C$38*Inputs!D$30+IF(Res1I[[#This Row],[Level (m)]]&gt;0,Cleanup,0)+VLOOKUP(Res1I[[#This Row],[Level (m)]],Relocation[],3,FALSE)</f>
        <v>96448.450209570467</v>
      </c>
      <c r="AB70" s="177" cm="1">
        <f t="array" ref="AB70">AWE*Res1I[[#This Row],[Adjusted Damage Index]]*Inputs!$C$38*Inputs!E$30+IF(Res1I[[#This Row],[Level (m)]]&gt;0,Cleanup,0)+VLOOKUP(Res1I[[#This Row],[Level (m)]],Relocation[],3,FALSE)</f>
        <v>123131.26694609395</v>
      </c>
      <c r="AC70" s="177" cm="1">
        <f t="array" ref="AC70">AWE*Res1I[[#This Row],[Adjusted Damage Index]]*Inputs!$C$38*Inputs!F$30+IF(Res1I[[#This Row],[Level (m)]]&gt;0,Cleanup,0)+VLOOKUP(Res1I[[#This Row],[Level (m)]],Relocation[],3,FALSE)</f>
        <v>114236.99470058613</v>
      </c>
      <c r="AG70" s="50">
        <v>1.65</v>
      </c>
      <c r="AH70" s="176">
        <v>0.40846560846560848</v>
      </c>
      <c r="AI70" s="176" cm="1">
        <f t="array" ref="AI70">AWE*Res2I[[#This Row],[Damage Index]]*Actual_to_Potential</f>
        <v>0.37941194036707787</v>
      </c>
      <c r="AJ70" s="177" cm="1">
        <f t="array" ref="AJ70">AWE*Res2I[[#This Row],[Adjusted Damage Index]]*Inputs!$C$38*Inputs!C$31+IF(Res2I[[#This Row],[Level (m)]]&gt;0,Cleanup,0)+VLOOKUP(Res2I[[#This Row],[Level (m)]],Relocation[],3,FALSE)</f>
        <v>33668.81641433551</v>
      </c>
      <c r="AK70" s="177" cm="1">
        <f t="array" ref="AK70">AWE*Res2I[[#This Row],[Adjusted Damage Index]]*Inputs!$C$38*Inputs!D$31+IF(Res2I[[#This Row],[Level (m)]]&gt;0,Cleanup,0)+VLOOKUP(Res2I[[#This Row],[Level (m)]],Relocation[],3,FALSE)</f>
        <v>50937.63282867102</v>
      </c>
      <c r="AL70" s="177" cm="1">
        <f t="array" ref="AL70">AWE*Res2I[[#This Row],[Adjusted Damage Index]]*Inputs!$C$38*Inputs!E$31+IF(Res2I[[#This Row],[Level (m)]]&gt;0,Cleanup,0)+VLOOKUP(Res2I[[#This Row],[Level (m)]],Relocation[],3,FALSE)</f>
        <v>62450.17710489469</v>
      </c>
      <c r="AM70" s="177" cm="1">
        <f t="array" ref="AM70">AWE*Res2I[[#This Row],[Adjusted Damage Index]]*Inputs!$C$38*Inputs!F$31+IF(Res2I[[#This Row],[Level (m)]]&gt;0,Cleanup,0)+VLOOKUP(Res2I[[#This Row],[Level (m)]],Relocation[],3,FALSE)</f>
        <v>58612.662346153469</v>
      </c>
    </row>
    <row r="71" spans="3:39" x14ac:dyDescent="0.3">
      <c r="C71" s="50">
        <v>1.7</v>
      </c>
      <c r="D71" s="176">
        <v>0.30350833333333338</v>
      </c>
      <c r="E71" s="176"/>
      <c r="F71" s="177" cm="1">
        <f t="array" ref="F71">AWE*Res1S[[#This Row],[Damage Index]]*Inputs!C$30*Inputs!C$25</f>
        <v>56384.030028943569</v>
      </c>
      <c r="G71" s="177" cm="1">
        <f t="array" ref="G71">AWE*Res1S[[#This Row],[Damage Index]]*Inputs!D$30*Inputs!D$25</f>
        <v>112768.06005788714</v>
      </c>
      <c r="H71" s="177" cm="1">
        <f t="array" ref="H71">AWE*Res1S[[#This Row],[Damage Index]]*Inputs!E$30*Inputs!E$25</f>
        <v>150357.41341051619</v>
      </c>
      <c r="I71" s="177" cm="1">
        <f t="array" ref="I71">AWE*Res1S[[#This Row],[Damage Index]]*Inputs!F$30*Inputs!F$25</f>
        <v>137827.62895963984</v>
      </c>
      <c r="M71" s="50">
        <v>1.7</v>
      </c>
      <c r="N71" s="176">
        <v>0.16692958333333338</v>
      </c>
      <c r="O71" s="176"/>
      <c r="P71" s="177" cm="1">
        <f t="array" ref="P71">AWE*Res2S[[#This Row],[Damage Index]]*Inputs!C$30*Inputs!C$25</f>
        <v>31011.216515918968</v>
      </c>
      <c r="Q71" s="177" cm="1">
        <f t="array" ref="Q71">AWE*Res2S[[#This Row],[Damage Index]]*Inputs!D$30*Inputs!D$25</f>
        <v>62022.433031837936</v>
      </c>
      <c r="R71" s="177" cm="1">
        <f t="array" ref="R71">AWE*Res2S[[#This Row],[Damage Index]]*Inputs!E$30*Inputs!E$25</f>
        <v>82696.577375783905</v>
      </c>
      <c r="S71" s="177" cm="1">
        <f t="array" ref="S71">AWE*Res2S[[#This Row],[Damage Index]]*Inputs!F$30*Inputs!F$25</f>
        <v>75805.19592780192</v>
      </c>
      <c r="W71" s="50">
        <v>1.7</v>
      </c>
      <c r="X71" s="176">
        <v>0.95473052931383762</v>
      </c>
      <c r="Y71" s="176" cm="1">
        <f t="array" ref="Y71">AWE*Res1I[[#This Row],[Damage Index]]*Actual_to_Potential</f>
        <v>0.8868216935457115</v>
      </c>
      <c r="Z71" s="177" cm="1">
        <f t="array" ref="Z71">AWE*Res1I[[#This Row],[Adjusted Damage Index]]*Inputs!$C$38*Inputs!C$30+IF(Res1I[[#This Row],[Level (m)]]&gt;0,Cleanup,0)+VLOOKUP(Res1I[[#This Row],[Level (m)]],Relocation[],3,FALSE)</f>
        <v>56763.413453130866</v>
      </c>
      <c r="AA71" s="177" cm="1">
        <f t="array" ref="AA71">AWE*Res1I[[#This Row],[Adjusted Damage Index]]*Inputs!$C$38*Inputs!D$30+IF(Res1I[[#This Row],[Level (m)]]&gt;0,Cleanup,0)+VLOOKUP(Res1I[[#This Row],[Level (m)]],Relocation[],3,FALSE)</f>
        <v>97126.826906261733</v>
      </c>
      <c r="AB71" s="177" cm="1">
        <f t="array" ref="AB71">AWE*Res1I[[#This Row],[Adjusted Damage Index]]*Inputs!$C$38*Inputs!E$30+IF(Res1I[[#This Row],[Level (m)]]&gt;0,Cleanup,0)+VLOOKUP(Res1I[[#This Row],[Level (m)]],Relocation[],3,FALSE)</f>
        <v>124035.76920834897</v>
      </c>
      <c r="AC71" s="177" cm="1">
        <f t="array" ref="AC71">AWE*Res1I[[#This Row],[Adjusted Damage Index]]*Inputs!$C$38*Inputs!F$30+IF(Res1I[[#This Row],[Level (m)]]&gt;0,Cleanup,0)+VLOOKUP(Res1I[[#This Row],[Level (m)]],Relocation[],3,FALSE)</f>
        <v>115066.12177431989</v>
      </c>
      <c r="AG71" s="50">
        <v>1.7</v>
      </c>
      <c r="AH71" s="176">
        <v>0.4105820105820106</v>
      </c>
      <c r="AI71" s="176" cm="1">
        <f t="array" ref="AI71">AWE*Res2I[[#This Row],[Damage Index]]*Actual_to_Potential</f>
        <v>0.38137780534307308</v>
      </c>
      <c r="AJ71" s="177" cm="1">
        <f t="array" ref="AJ71">AWE*Res2I[[#This Row],[Adjusted Damage Index]]*Inputs!$C$38*Inputs!C$31+IF(Res2I[[#This Row],[Level (m)]]&gt;0,Cleanup,0)+VLOOKUP(Res2I[[#This Row],[Level (m)]],Relocation[],3,FALSE)</f>
        <v>33758.292147052271</v>
      </c>
      <c r="AK71" s="177" cm="1">
        <f t="array" ref="AK71">AWE*Res2I[[#This Row],[Adjusted Damage Index]]*Inputs!$C$38*Inputs!D$31+IF(Res2I[[#This Row],[Level (m)]]&gt;0,Cleanup,0)+VLOOKUP(Res2I[[#This Row],[Level (m)]],Relocation[],3,FALSE)</f>
        <v>51116.584294104548</v>
      </c>
      <c r="AL71" s="177" cm="1">
        <f t="array" ref="AL71">AWE*Res2I[[#This Row],[Adjusted Damage Index]]*Inputs!$C$38*Inputs!E$31+IF(Res2I[[#This Row],[Level (m)]]&gt;0,Cleanup,0)+VLOOKUP(Res2I[[#This Row],[Level (m)]],Relocation[],3,FALSE)</f>
        <v>62688.77905880606</v>
      </c>
      <c r="AM71" s="177" cm="1">
        <f t="array" ref="AM71">AWE*Res2I[[#This Row],[Adjusted Damage Index]]*Inputs!$C$38*Inputs!F$31+IF(Res2I[[#This Row],[Level (m)]]&gt;0,Cleanup,0)+VLOOKUP(Res2I[[#This Row],[Level (m)]],Relocation[],3,FALSE)</f>
        <v>58831.380803905558</v>
      </c>
    </row>
    <row r="72" spans="3:39" x14ac:dyDescent="0.3">
      <c r="C72" s="50">
        <v>1.75</v>
      </c>
      <c r="D72" s="176">
        <v>0.30479166666666668</v>
      </c>
      <c r="E72" s="176"/>
      <c r="F72" s="177" cm="1">
        <f t="array" ref="F72">AWE*Res1S[[#This Row],[Damage Index]]*Inputs!C$30*Inputs!C$25</f>
        <v>56622.44030390738</v>
      </c>
      <c r="G72" s="177" cm="1">
        <f t="array" ref="G72">AWE*Res1S[[#This Row],[Damage Index]]*Inputs!D$30*Inputs!D$25</f>
        <v>113244.88060781476</v>
      </c>
      <c r="H72" s="177" cm="1">
        <f t="array" ref="H72">AWE*Res1S[[#This Row],[Damage Index]]*Inputs!E$30*Inputs!E$25</f>
        <v>150993.17414375301</v>
      </c>
      <c r="I72" s="177" cm="1">
        <f t="array" ref="I72">AWE*Res1S[[#This Row],[Damage Index]]*Inputs!F$30*Inputs!F$25</f>
        <v>138410.4096317736</v>
      </c>
      <c r="M72" s="50">
        <v>1.75</v>
      </c>
      <c r="N72" s="176">
        <v>0.1676354166666667</v>
      </c>
      <c r="O72" s="176"/>
      <c r="P72" s="177" cm="1">
        <f t="array" ref="P72">AWE*Res2S[[#This Row],[Damage Index]]*Inputs!C$30*Inputs!C$25</f>
        <v>31142.342167149065</v>
      </c>
      <c r="Q72" s="177" cm="1">
        <f t="array" ref="Q72">AWE*Res2S[[#This Row],[Damage Index]]*Inputs!D$30*Inputs!D$25</f>
        <v>62284.68433429813</v>
      </c>
      <c r="R72" s="177" cm="1">
        <f t="array" ref="R72">AWE*Res2S[[#This Row],[Damage Index]]*Inputs!E$30*Inputs!E$25</f>
        <v>83046.245779064178</v>
      </c>
      <c r="S72" s="177" cm="1">
        <f t="array" ref="S72">AWE*Res2S[[#This Row],[Damage Index]]*Inputs!F$30*Inputs!F$25</f>
        <v>76125.725297475496</v>
      </c>
      <c r="W72" s="50">
        <v>1.75</v>
      </c>
      <c r="X72" s="176">
        <v>0.96275347493832364</v>
      </c>
      <c r="Y72" s="176" cm="1">
        <f t="array" ref="Y72">AWE*Res1I[[#This Row],[Damage Index]]*Actual_to_Potential</f>
        <v>0.89427397668475117</v>
      </c>
      <c r="Z72" s="177" cm="1">
        <f t="array" ref="Z72">AWE*Res1I[[#This Row],[Adjusted Damage Index]]*Inputs!$C$38*Inputs!C$30+IF(Res1I[[#This Row],[Level (m)]]&gt;0,Cleanup,0)+VLOOKUP(Res1I[[#This Row],[Level (m)]],Relocation[],3,FALSE)</f>
        <v>57102.601801476507</v>
      </c>
      <c r="AA72" s="177" cm="1">
        <f t="array" ref="AA72">AWE*Res1I[[#This Row],[Adjusted Damage Index]]*Inputs!$C$38*Inputs!D$30+IF(Res1I[[#This Row],[Level (m)]]&gt;0,Cleanup,0)+VLOOKUP(Res1I[[#This Row],[Level (m)]],Relocation[],3,FALSE)</f>
        <v>97805.203602953014</v>
      </c>
      <c r="AB72" s="177" cm="1">
        <f t="array" ref="AB72">AWE*Res1I[[#This Row],[Adjusted Damage Index]]*Inputs!$C$38*Inputs!E$30+IF(Res1I[[#This Row],[Level (m)]]&gt;0,Cleanup,0)+VLOOKUP(Res1I[[#This Row],[Level (m)]],Relocation[],3,FALSE)</f>
        <v>124940.27147060403</v>
      </c>
      <c r="AC72" s="177" cm="1">
        <f t="array" ref="AC72">AWE*Res1I[[#This Row],[Adjusted Damage Index]]*Inputs!$C$38*Inputs!F$30+IF(Res1I[[#This Row],[Level (m)]]&gt;0,Cleanup,0)+VLOOKUP(Res1I[[#This Row],[Level (m)]],Relocation[],3,FALSE)</f>
        <v>115895.24884805368</v>
      </c>
      <c r="AG72" s="50">
        <v>1.75</v>
      </c>
      <c r="AH72" s="176">
        <v>0.41269841269841273</v>
      </c>
      <c r="AI72" s="176" cm="1">
        <f t="array" ref="AI72">AWE*Res2I[[#This Row],[Damage Index]]*Actual_to_Potential</f>
        <v>0.38334367031906835</v>
      </c>
      <c r="AJ72" s="177" cm="1">
        <f t="array" ref="AJ72">AWE*Res2I[[#This Row],[Adjusted Damage Index]]*Inputs!$C$38*Inputs!C$31+IF(Res2I[[#This Row],[Level (m)]]&gt;0,Cleanup,0)+VLOOKUP(Res2I[[#This Row],[Level (m)]],Relocation[],3,FALSE)</f>
        <v>33847.767879769039</v>
      </c>
      <c r="AK72" s="177" cm="1">
        <f t="array" ref="AK72">AWE*Res2I[[#This Row],[Adjusted Damage Index]]*Inputs!$C$38*Inputs!D$31+IF(Res2I[[#This Row],[Level (m)]]&gt;0,Cleanup,0)+VLOOKUP(Res2I[[#This Row],[Level (m)]],Relocation[],3,FALSE)</f>
        <v>51295.535759538077</v>
      </c>
      <c r="AL72" s="177" cm="1">
        <f t="array" ref="AL72">AWE*Res2I[[#This Row],[Adjusted Damage Index]]*Inputs!$C$38*Inputs!E$31+IF(Res2I[[#This Row],[Level (m)]]&gt;0,Cleanup,0)+VLOOKUP(Res2I[[#This Row],[Level (m)]],Relocation[],3,FALSE)</f>
        <v>62927.381012717437</v>
      </c>
      <c r="AM72" s="177" cm="1">
        <f t="array" ref="AM72">AWE*Res2I[[#This Row],[Adjusted Damage Index]]*Inputs!$C$38*Inputs!F$31+IF(Res2I[[#This Row],[Level (m)]]&gt;0,Cleanup,0)+VLOOKUP(Res2I[[#This Row],[Level (m)]],Relocation[],3,FALSE)</f>
        <v>59050.099261657655</v>
      </c>
    </row>
    <row r="73" spans="3:39" x14ac:dyDescent="0.3">
      <c r="C73" s="50">
        <v>1.8</v>
      </c>
      <c r="D73" s="176">
        <v>0.30607500000000004</v>
      </c>
      <c r="E73" s="176"/>
      <c r="F73" s="177" cm="1">
        <f t="array" ref="F73">AWE*Res1S[[#This Row],[Damage Index]]*Inputs!C$30*Inputs!C$25</f>
        <v>56860.850578871206</v>
      </c>
      <c r="G73" s="177" cm="1">
        <f t="array" ref="G73">AWE*Res1S[[#This Row],[Damage Index]]*Inputs!D$30*Inputs!D$25</f>
        <v>113721.70115774241</v>
      </c>
      <c r="H73" s="177" cm="1">
        <f t="array" ref="H73">AWE*Res1S[[#This Row],[Damage Index]]*Inputs!E$30*Inputs!E$25</f>
        <v>151628.93487698989</v>
      </c>
      <c r="I73" s="177" cm="1">
        <f t="array" ref="I73">AWE*Res1S[[#This Row],[Damage Index]]*Inputs!F$30*Inputs!F$25</f>
        <v>138993.19030390741</v>
      </c>
      <c r="M73" s="50">
        <v>1.8</v>
      </c>
      <c r="N73" s="176">
        <v>0.16834125000000003</v>
      </c>
      <c r="O73" s="176"/>
      <c r="P73" s="177" cm="1">
        <f t="array" ref="P73">AWE*Res2S[[#This Row],[Damage Index]]*Inputs!C$30*Inputs!C$25</f>
        <v>31273.467818379162</v>
      </c>
      <c r="Q73" s="177" cm="1">
        <f t="array" ref="Q73">AWE*Res2S[[#This Row],[Damage Index]]*Inputs!D$30*Inputs!D$25</f>
        <v>62546.935636758324</v>
      </c>
      <c r="R73" s="177" cm="1">
        <f t="array" ref="R73">AWE*Res2S[[#This Row],[Damage Index]]*Inputs!E$30*Inputs!E$25</f>
        <v>83395.914182344437</v>
      </c>
      <c r="S73" s="177" cm="1">
        <f t="array" ref="S73">AWE*Res2S[[#This Row],[Damage Index]]*Inputs!F$30*Inputs!F$25</f>
        <v>76446.254667149056</v>
      </c>
      <c r="W73" s="50">
        <v>1.8</v>
      </c>
      <c r="X73" s="176">
        <v>0.965236576609102</v>
      </c>
      <c r="Y73" s="176" cm="1">
        <f t="array" ref="Y73">AWE*Res1I[[#This Row],[Damage Index]]*Actual_to_Potential</f>
        <v>0.89658045831628386</v>
      </c>
      <c r="Z73" s="177" cm="1">
        <f t="array" ref="Z73">AWE*Res1I[[#This Row],[Adjusted Damage Index]]*Inputs!$C$38*Inputs!C$30+IF(Res1I[[#This Row],[Level (m)]]&gt;0,Cleanup,0)+VLOOKUP(Res1I[[#This Row],[Level (m)]],Relocation[],3,FALSE)</f>
        <v>57207.580595289481</v>
      </c>
      <c r="AA73" s="177" cm="1">
        <f t="array" ref="AA73">AWE*Res1I[[#This Row],[Adjusted Damage Index]]*Inputs!$C$38*Inputs!D$30+IF(Res1I[[#This Row],[Level (m)]]&gt;0,Cleanup,0)+VLOOKUP(Res1I[[#This Row],[Level (m)]],Relocation[],3,FALSE)</f>
        <v>98015.161190578961</v>
      </c>
      <c r="AB73" s="177" cm="1">
        <f t="array" ref="AB73">AWE*Res1I[[#This Row],[Adjusted Damage Index]]*Inputs!$C$38*Inputs!E$30+IF(Res1I[[#This Row],[Level (m)]]&gt;0,Cleanup,0)+VLOOKUP(Res1I[[#This Row],[Level (m)]],Relocation[],3,FALSE)</f>
        <v>125220.21492077195</v>
      </c>
      <c r="AC73" s="177" cm="1">
        <f t="array" ref="AC73">AWE*Res1I[[#This Row],[Adjusted Damage Index]]*Inputs!$C$38*Inputs!F$30+IF(Res1I[[#This Row],[Level (m)]]&gt;0,Cleanup,0)+VLOOKUP(Res1I[[#This Row],[Level (m)]],Relocation[],3,FALSE)</f>
        <v>116151.86367737429</v>
      </c>
      <c r="AG73" s="50">
        <v>1.8</v>
      </c>
      <c r="AH73" s="176">
        <v>0.41481481481481486</v>
      </c>
      <c r="AI73" s="176" cm="1">
        <f t="array" ref="AI73">AWE*Res2I[[#This Row],[Damage Index]]*Actual_to_Potential</f>
        <v>0.38530953529506357</v>
      </c>
      <c r="AJ73" s="177" cm="1">
        <f t="array" ref="AJ73">AWE*Res2I[[#This Row],[Adjusted Damage Index]]*Inputs!$C$38*Inputs!C$31+IF(Res2I[[#This Row],[Level (m)]]&gt;0,Cleanup,0)+VLOOKUP(Res2I[[#This Row],[Level (m)]],Relocation[],3,FALSE)</f>
        <v>33937.243612485807</v>
      </c>
      <c r="AK73" s="177" cm="1">
        <f t="array" ref="AK73">AWE*Res2I[[#This Row],[Adjusted Damage Index]]*Inputs!$C$38*Inputs!D$31+IF(Res2I[[#This Row],[Level (m)]]&gt;0,Cleanup,0)+VLOOKUP(Res2I[[#This Row],[Level (m)]],Relocation[],3,FALSE)</f>
        <v>51474.487224971606</v>
      </c>
      <c r="AL73" s="177" cm="1">
        <f t="array" ref="AL73">AWE*Res2I[[#This Row],[Adjusted Damage Index]]*Inputs!$C$38*Inputs!E$31+IF(Res2I[[#This Row],[Level (m)]]&gt;0,Cleanup,0)+VLOOKUP(Res2I[[#This Row],[Level (m)]],Relocation[],3,FALSE)</f>
        <v>63165.982966628813</v>
      </c>
      <c r="AM73" s="177" cm="1">
        <f t="array" ref="AM73">AWE*Res2I[[#This Row],[Adjusted Damage Index]]*Inputs!$C$38*Inputs!F$31+IF(Res2I[[#This Row],[Level (m)]]&gt;0,Cleanup,0)+VLOOKUP(Res2I[[#This Row],[Level (m)]],Relocation[],3,FALSE)</f>
        <v>59268.817719409744</v>
      </c>
    </row>
    <row r="74" spans="3:39" x14ac:dyDescent="0.3">
      <c r="C74" s="50">
        <v>1.85</v>
      </c>
      <c r="D74" s="176">
        <v>0.3073583333333334</v>
      </c>
      <c r="E74" s="176"/>
      <c r="F74" s="177" cm="1">
        <f t="array" ref="F74">AWE*Res1S[[#This Row],[Damage Index]]*Inputs!C$30*Inputs!C$25</f>
        <v>57099.260853835025</v>
      </c>
      <c r="G74" s="177" cm="1">
        <f t="array" ref="G74">AWE*Res1S[[#This Row],[Damage Index]]*Inputs!D$30*Inputs!D$25</f>
        <v>114198.52170767005</v>
      </c>
      <c r="H74" s="177" cm="1">
        <f t="array" ref="H74">AWE*Res1S[[#This Row],[Damage Index]]*Inputs!E$30*Inputs!E$25</f>
        <v>152264.69561022674</v>
      </c>
      <c r="I74" s="177" cm="1">
        <f t="array" ref="I74">AWE*Res1S[[#This Row],[Damage Index]]*Inputs!F$30*Inputs!F$25</f>
        <v>139575.97097604119</v>
      </c>
      <c r="M74" s="50">
        <v>1.85</v>
      </c>
      <c r="N74" s="176">
        <v>0.16904708333333338</v>
      </c>
      <c r="O74" s="176"/>
      <c r="P74" s="177" cm="1">
        <f t="array" ref="P74">AWE*Res2S[[#This Row],[Damage Index]]*Inputs!C$30*Inputs!C$25</f>
        <v>31404.59346960927</v>
      </c>
      <c r="Q74" s="177" cm="1">
        <f t="array" ref="Q74">AWE*Res2S[[#This Row],[Damage Index]]*Inputs!D$30*Inputs!D$25</f>
        <v>62809.18693921854</v>
      </c>
      <c r="R74" s="177" cm="1">
        <f t="array" ref="R74">AWE*Res2S[[#This Row],[Damage Index]]*Inputs!E$30*Inputs!E$25</f>
        <v>83745.58258562471</v>
      </c>
      <c r="S74" s="177" cm="1">
        <f t="array" ref="S74">AWE*Res2S[[#This Row],[Damage Index]]*Inputs!F$30*Inputs!F$25</f>
        <v>76766.784036822661</v>
      </c>
      <c r="W74" s="50">
        <v>1.85</v>
      </c>
      <c r="X74" s="176">
        <v>0.96771967827988048</v>
      </c>
      <c r="Y74" s="176" cm="1">
        <f t="array" ref="Y74">AWE*Res1I[[#This Row],[Damage Index]]*Actual_to_Potential</f>
        <v>0.89888693994781654</v>
      </c>
      <c r="Z74" s="177" cm="1">
        <f t="array" ref="Z74">AWE*Res1I[[#This Row],[Adjusted Damage Index]]*Inputs!$C$38*Inputs!C$30+IF(Res1I[[#This Row],[Level (m)]]&gt;0,Cleanup,0)+VLOOKUP(Res1I[[#This Row],[Level (m)]],Relocation[],3,FALSE)</f>
        <v>57312.559389102455</v>
      </c>
      <c r="AA74" s="177" cm="1">
        <f t="array" ref="AA74">AWE*Res1I[[#This Row],[Adjusted Damage Index]]*Inputs!$C$38*Inputs!D$30+IF(Res1I[[#This Row],[Level (m)]]&gt;0,Cleanup,0)+VLOOKUP(Res1I[[#This Row],[Level (m)]],Relocation[],3,FALSE)</f>
        <v>98225.118778204909</v>
      </c>
      <c r="AB74" s="177" cm="1">
        <f t="array" ref="AB74">AWE*Res1I[[#This Row],[Adjusted Damage Index]]*Inputs!$C$38*Inputs!E$30+IF(Res1I[[#This Row],[Level (m)]]&gt;0,Cleanup,0)+VLOOKUP(Res1I[[#This Row],[Level (m)]],Relocation[],3,FALSE)</f>
        <v>125500.15837093987</v>
      </c>
      <c r="AC74" s="177" cm="1">
        <f t="array" ref="AC74">AWE*Res1I[[#This Row],[Adjusted Damage Index]]*Inputs!$C$38*Inputs!F$30+IF(Res1I[[#This Row],[Level (m)]]&gt;0,Cleanup,0)+VLOOKUP(Res1I[[#This Row],[Level (m)]],Relocation[],3,FALSE)</f>
        <v>116408.47850669488</v>
      </c>
      <c r="AG74" s="50">
        <v>1.85</v>
      </c>
      <c r="AH74" s="176">
        <v>0.41693121693121693</v>
      </c>
      <c r="AI74" s="176" cm="1">
        <f t="array" ref="AI74">AWE*Res2I[[#This Row],[Damage Index]]*Actual_to_Potential</f>
        <v>0.38727540027105872</v>
      </c>
      <c r="AJ74" s="177" cm="1">
        <f t="array" ref="AJ74">AWE*Res2I[[#This Row],[Adjusted Damage Index]]*Inputs!$C$38*Inputs!C$31+IF(Res2I[[#This Row],[Level (m)]]&gt;0,Cleanup,0)+VLOOKUP(Res2I[[#This Row],[Level (m)]],Relocation[],3,FALSE)</f>
        <v>34026.719345202568</v>
      </c>
      <c r="AK74" s="177" cm="1">
        <f t="array" ref="AK74">AWE*Res2I[[#This Row],[Adjusted Damage Index]]*Inputs!$C$38*Inputs!D$31+IF(Res2I[[#This Row],[Level (m)]]&gt;0,Cleanup,0)+VLOOKUP(Res2I[[#This Row],[Level (m)]],Relocation[],3,FALSE)</f>
        <v>51653.438690405128</v>
      </c>
      <c r="AL74" s="177" cm="1">
        <f t="array" ref="AL74">AWE*Res2I[[#This Row],[Adjusted Damage Index]]*Inputs!$C$38*Inputs!E$31+IF(Res2I[[#This Row],[Level (m)]]&gt;0,Cleanup,0)+VLOOKUP(Res2I[[#This Row],[Level (m)]],Relocation[],3,FALSE)</f>
        <v>63404.584920540176</v>
      </c>
      <c r="AM74" s="177" cm="1">
        <f t="array" ref="AM74">AWE*Res2I[[#This Row],[Adjusted Damage Index]]*Inputs!$C$38*Inputs!F$31+IF(Res2I[[#This Row],[Level (m)]]&gt;0,Cleanup,0)+VLOOKUP(Res2I[[#This Row],[Level (m)]],Relocation[],3,FALSE)</f>
        <v>59487.536177161826</v>
      </c>
    </row>
    <row r="75" spans="3:39" x14ac:dyDescent="0.3">
      <c r="C75" s="50">
        <v>1.9</v>
      </c>
      <c r="D75" s="176">
        <v>0.3086416666666667</v>
      </c>
      <c r="E75" s="176"/>
      <c r="F75" s="177" cm="1">
        <f t="array" ref="F75">AWE*Res1S[[#This Row],[Damage Index]]*Inputs!C$30*Inputs!C$25</f>
        <v>57337.671128798836</v>
      </c>
      <c r="G75" s="177" cm="1">
        <f t="array" ref="G75">AWE*Res1S[[#This Row],[Damage Index]]*Inputs!D$30*Inputs!D$25</f>
        <v>114675.34225759767</v>
      </c>
      <c r="H75" s="177" cm="1">
        <f t="array" ref="H75">AWE*Res1S[[#This Row],[Damage Index]]*Inputs!E$30*Inputs!E$25</f>
        <v>152900.45634346359</v>
      </c>
      <c r="I75" s="177" cm="1">
        <f t="array" ref="I75">AWE*Res1S[[#This Row],[Damage Index]]*Inputs!F$30*Inputs!F$25</f>
        <v>140158.75164817495</v>
      </c>
      <c r="M75" s="50">
        <v>1.9</v>
      </c>
      <c r="N75" s="176">
        <v>0.1697529166666667</v>
      </c>
      <c r="O75" s="176"/>
      <c r="P75" s="177" cm="1">
        <f t="array" ref="P75">AWE*Res2S[[#This Row],[Damage Index]]*Inputs!C$30*Inputs!C$25</f>
        <v>31535.719120839367</v>
      </c>
      <c r="Q75" s="177" cm="1">
        <f t="array" ref="Q75">AWE*Res2S[[#This Row],[Damage Index]]*Inputs!D$30*Inputs!D$25</f>
        <v>63071.438241678734</v>
      </c>
      <c r="R75" s="177" cm="1">
        <f t="array" ref="R75">AWE*Res2S[[#This Row],[Damage Index]]*Inputs!E$30*Inputs!E$25</f>
        <v>84095.250988904983</v>
      </c>
      <c r="S75" s="177" cm="1">
        <f t="array" ref="S75">AWE*Res2S[[#This Row],[Damage Index]]*Inputs!F$30*Inputs!F$25</f>
        <v>77087.313406496236</v>
      </c>
      <c r="W75" s="50">
        <v>1.9</v>
      </c>
      <c r="X75" s="176">
        <v>0.97020277995065884</v>
      </c>
      <c r="Y75" s="176" cm="1">
        <f t="array" ref="Y75">AWE*Res1I[[#This Row],[Damage Index]]*Actual_to_Potential</f>
        <v>0.90119342157934923</v>
      </c>
      <c r="Z75" s="177" cm="1">
        <f t="array" ref="Z75">AWE*Res1I[[#This Row],[Adjusted Damage Index]]*Inputs!$C$38*Inputs!C$30+IF(Res1I[[#This Row],[Level (m)]]&gt;0,Cleanup,0)+VLOOKUP(Res1I[[#This Row],[Level (m)]],Relocation[],3,FALSE)</f>
        <v>57417.538182915421</v>
      </c>
      <c r="AA75" s="177" cm="1">
        <f t="array" ref="AA75">AWE*Res1I[[#This Row],[Adjusted Damage Index]]*Inputs!$C$38*Inputs!D$30+IF(Res1I[[#This Row],[Level (m)]]&gt;0,Cleanup,0)+VLOOKUP(Res1I[[#This Row],[Level (m)]],Relocation[],3,FALSE)</f>
        <v>98435.076365830842</v>
      </c>
      <c r="AB75" s="177" cm="1">
        <f t="array" ref="AB75">AWE*Res1I[[#This Row],[Adjusted Damage Index]]*Inputs!$C$38*Inputs!E$30+IF(Res1I[[#This Row],[Level (m)]]&gt;0,Cleanup,0)+VLOOKUP(Res1I[[#This Row],[Level (m)]],Relocation[],3,FALSE)</f>
        <v>125780.10182110779</v>
      </c>
      <c r="AC75" s="177" cm="1">
        <f t="array" ref="AC75">AWE*Res1I[[#This Row],[Adjusted Damage Index]]*Inputs!$C$38*Inputs!F$30+IF(Res1I[[#This Row],[Level (m)]]&gt;0,Cleanup,0)+VLOOKUP(Res1I[[#This Row],[Level (m)]],Relocation[],3,FALSE)</f>
        <v>116665.09333601547</v>
      </c>
      <c r="AG75" s="50">
        <v>1.9</v>
      </c>
      <c r="AH75" s="176">
        <v>0.41904761904761906</v>
      </c>
      <c r="AI75" s="176" cm="1">
        <f t="array" ref="AI75">AWE*Res2I[[#This Row],[Damage Index]]*Actual_to_Potential</f>
        <v>0.38924126524705399</v>
      </c>
      <c r="AJ75" s="177" cm="1">
        <f t="array" ref="AJ75">AWE*Res2I[[#This Row],[Adjusted Damage Index]]*Inputs!$C$38*Inputs!C$31+IF(Res2I[[#This Row],[Level (m)]]&gt;0,Cleanup,0)+VLOOKUP(Res2I[[#This Row],[Level (m)]],Relocation[],3,FALSE)</f>
        <v>34116.195077919328</v>
      </c>
      <c r="AK75" s="177" cm="1">
        <f t="array" ref="AK75">AWE*Res2I[[#This Row],[Adjusted Damage Index]]*Inputs!$C$38*Inputs!D$31+IF(Res2I[[#This Row],[Level (m)]]&gt;0,Cleanup,0)+VLOOKUP(Res2I[[#This Row],[Level (m)]],Relocation[],3,FALSE)</f>
        <v>51832.390155838664</v>
      </c>
      <c r="AL75" s="177" cm="1">
        <f t="array" ref="AL75">AWE*Res2I[[#This Row],[Adjusted Damage Index]]*Inputs!$C$38*Inputs!E$31+IF(Res2I[[#This Row],[Level (m)]]&gt;0,Cleanup,0)+VLOOKUP(Res2I[[#This Row],[Level (m)]],Relocation[],3,FALSE)</f>
        <v>63643.186874451552</v>
      </c>
      <c r="AM75" s="177" cm="1">
        <f t="array" ref="AM75">AWE*Res2I[[#This Row],[Adjusted Damage Index]]*Inputs!$C$38*Inputs!F$31+IF(Res2I[[#This Row],[Level (m)]]&gt;0,Cleanup,0)+VLOOKUP(Res2I[[#This Row],[Level (m)]],Relocation[],3,FALSE)</f>
        <v>59706.254634913923</v>
      </c>
    </row>
    <row r="76" spans="3:39" x14ac:dyDescent="0.3">
      <c r="C76" s="50">
        <v>1.95</v>
      </c>
      <c r="D76" s="176">
        <v>0.30992500000000001</v>
      </c>
      <c r="E76" s="176"/>
      <c r="F76" s="177" cm="1">
        <f t="array" ref="F76">AWE*Res1S[[#This Row],[Damage Index]]*Inputs!C$30*Inputs!C$25</f>
        <v>57576.081403762662</v>
      </c>
      <c r="G76" s="177" cm="1">
        <f t="array" ref="G76">AWE*Res1S[[#This Row],[Damage Index]]*Inputs!D$30*Inputs!D$25</f>
        <v>115152.16280752532</v>
      </c>
      <c r="H76" s="177" cm="1">
        <f t="array" ref="H76">AWE*Res1S[[#This Row],[Damage Index]]*Inputs!E$30*Inputs!E$25</f>
        <v>153536.21707670044</v>
      </c>
      <c r="I76" s="177" cm="1">
        <f t="array" ref="I76">AWE*Res1S[[#This Row],[Damage Index]]*Inputs!F$30*Inputs!F$25</f>
        <v>140741.53232030876</v>
      </c>
      <c r="M76" s="50">
        <v>1.95</v>
      </c>
      <c r="N76" s="176">
        <v>0.17045875000000005</v>
      </c>
      <c r="O76" s="176"/>
      <c r="P76" s="177" cm="1">
        <f t="array" ref="P76">AWE*Res2S[[#This Row],[Damage Index]]*Inputs!C$30*Inputs!C$25</f>
        <v>31666.844772069475</v>
      </c>
      <c r="Q76" s="177" cm="1">
        <f t="array" ref="Q76">AWE*Res2S[[#This Row],[Damage Index]]*Inputs!D$30*Inputs!D$25</f>
        <v>63333.68954413895</v>
      </c>
      <c r="R76" s="177" cm="1">
        <f t="array" ref="R76">AWE*Res2S[[#This Row],[Damage Index]]*Inputs!E$30*Inputs!E$25</f>
        <v>84444.919392185257</v>
      </c>
      <c r="S76" s="177" cm="1">
        <f t="array" ref="S76">AWE*Res2S[[#This Row],[Damage Index]]*Inputs!F$30*Inputs!F$25</f>
        <v>77407.842776169826</v>
      </c>
      <c r="W76" s="50">
        <v>1.95</v>
      </c>
      <c r="X76" s="176">
        <v>0.97268588162143732</v>
      </c>
      <c r="Y76" s="176" cm="1">
        <f t="array" ref="Y76">AWE*Res1I[[#This Row],[Damage Index]]*Actual_to_Potential</f>
        <v>0.90349990321088203</v>
      </c>
      <c r="Z76" s="177" cm="1">
        <f t="array" ref="Z76">AWE*Res1I[[#This Row],[Adjusted Damage Index]]*Inputs!$C$38*Inputs!C$30+IF(Res1I[[#This Row],[Level (m)]]&gt;0,Cleanup,0)+VLOOKUP(Res1I[[#This Row],[Level (m)]],Relocation[],3,FALSE)</f>
        <v>57522.516976728402</v>
      </c>
      <c r="AA76" s="177" cm="1">
        <f t="array" ref="AA76">AWE*Res1I[[#This Row],[Adjusted Damage Index]]*Inputs!$C$38*Inputs!D$30+IF(Res1I[[#This Row],[Level (m)]]&gt;0,Cleanup,0)+VLOOKUP(Res1I[[#This Row],[Level (m)]],Relocation[],3,FALSE)</f>
        <v>98645.033953456805</v>
      </c>
      <c r="AB76" s="177" cm="1">
        <f t="array" ref="AB76">AWE*Res1I[[#This Row],[Adjusted Damage Index]]*Inputs!$C$38*Inputs!E$30+IF(Res1I[[#This Row],[Level (m)]]&gt;0,Cleanup,0)+VLOOKUP(Res1I[[#This Row],[Level (m)]],Relocation[],3,FALSE)</f>
        <v>126060.04527127574</v>
      </c>
      <c r="AC76" s="177" cm="1">
        <f t="array" ref="AC76">AWE*Res1I[[#This Row],[Adjusted Damage Index]]*Inputs!$C$38*Inputs!F$30+IF(Res1I[[#This Row],[Level (m)]]&gt;0,Cleanup,0)+VLOOKUP(Res1I[[#This Row],[Level (m)]],Relocation[],3,FALSE)</f>
        <v>116921.70816533609</v>
      </c>
      <c r="AG76" s="50">
        <v>1.95</v>
      </c>
      <c r="AH76" s="176">
        <v>0.42116402116402113</v>
      </c>
      <c r="AI76" s="176" cm="1">
        <f t="array" ref="AI76">AWE*Res2I[[#This Row],[Damage Index]]*Actual_to_Potential</f>
        <v>0.39120713022304915</v>
      </c>
      <c r="AJ76" s="177" cm="1">
        <f t="array" ref="AJ76">AWE*Res2I[[#This Row],[Adjusted Damage Index]]*Inputs!$C$38*Inputs!C$31+IF(Res2I[[#This Row],[Level (m)]]&gt;0,Cleanup,0)+VLOOKUP(Res2I[[#This Row],[Level (m)]],Relocation[],3,FALSE)</f>
        <v>34205.670810636089</v>
      </c>
      <c r="AK76" s="177" cm="1">
        <f t="array" ref="AK76">AWE*Res2I[[#This Row],[Adjusted Damage Index]]*Inputs!$C$38*Inputs!D$31+IF(Res2I[[#This Row],[Level (m)]]&gt;0,Cleanup,0)+VLOOKUP(Res2I[[#This Row],[Level (m)]],Relocation[],3,FALSE)</f>
        <v>52011.341621272186</v>
      </c>
      <c r="AL76" s="177" cm="1">
        <f t="array" ref="AL76">AWE*Res2I[[#This Row],[Adjusted Damage Index]]*Inputs!$C$38*Inputs!E$31+IF(Res2I[[#This Row],[Level (m)]]&gt;0,Cleanup,0)+VLOOKUP(Res2I[[#This Row],[Level (m)]],Relocation[],3,FALSE)</f>
        <v>63881.788828362915</v>
      </c>
      <c r="AM76" s="177" cm="1">
        <f t="array" ref="AM76">AWE*Res2I[[#This Row],[Adjusted Damage Index]]*Inputs!$C$38*Inputs!F$31+IF(Res2I[[#This Row],[Level (m)]]&gt;0,Cleanup,0)+VLOOKUP(Res2I[[#This Row],[Level (m)]],Relocation[],3,FALSE)</f>
        <v>59924.973092666005</v>
      </c>
    </row>
    <row r="77" spans="3:39" x14ac:dyDescent="0.3">
      <c r="C77" s="50">
        <v>2</v>
      </c>
      <c r="D77" s="176">
        <v>0.31120833333333336</v>
      </c>
      <c r="E77" s="176"/>
      <c r="F77" s="177" cm="1">
        <f t="array" ref="F77">AWE*Res1S[[#This Row],[Damage Index]]*Inputs!C$30*Inputs!C$25</f>
        <v>57814.491678726488</v>
      </c>
      <c r="G77" s="177" cm="1">
        <f t="array" ref="G77">AWE*Res1S[[#This Row],[Damage Index]]*Inputs!D$30*Inputs!D$25</f>
        <v>115628.98335745298</v>
      </c>
      <c r="H77" s="177" cm="1">
        <f t="array" ref="H77">AWE*Res1S[[#This Row],[Damage Index]]*Inputs!E$30*Inputs!E$25</f>
        <v>154171.97780993729</v>
      </c>
      <c r="I77" s="177" cm="1">
        <f t="array" ref="I77">AWE*Res1S[[#This Row],[Damage Index]]*Inputs!F$30*Inputs!F$25</f>
        <v>141324.31299244252</v>
      </c>
      <c r="M77" s="50">
        <v>2</v>
      </c>
      <c r="N77" s="176">
        <v>0.17116458333333337</v>
      </c>
      <c r="O77" s="176"/>
      <c r="P77" s="177" cm="1">
        <f t="array" ref="P77">AWE*Res2S[[#This Row],[Damage Index]]*Inputs!C$30*Inputs!C$25</f>
        <v>31797.970423299575</v>
      </c>
      <c r="Q77" s="177" cm="1">
        <f t="array" ref="Q77">AWE*Res2S[[#This Row],[Damage Index]]*Inputs!D$30*Inputs!D$25</f>
        <v>63595.940846599151</v>
      </c>
      <c r="R77" s="177" cm="1">
        <f t="array" ref="R77">AWE*Res2S[[#This Row],[Damage Index]]*Inputs!E$30*Inputs!E$25</f>
        <v>84794.58779546553</v>
      </c>
      <c r="S77" s="177" cm="1">
        <f t="array" ref="S77">AWE*Res2S[[#This Row],[Damage Index]]*Inputs!F$30*Inputs!F$25</f>
        <v>77728.372145843401</v>
      </c>
      <c r="W77" s="50">
        <v>2</v>
      </c>
      <c r="X77" s="176">
        <v>0.97516898329221569</v>
      </c>
      <c r="Y77" s="176" cm="1">
        <f t="array" ref="Y77">AWE*Res1I[[#This Row],[Damage Index]]*Actual_to_Potential</f>
        <v>0.90580638484241482</v>
      </c>
      <c r="Z77" s="177" cm="1">
        <f t="array" ref="Z77">AWE*Res1I[[#This Row],[Adjusted Damage Index]]*Inputs!$C$38*Inputs!C$30+IF(Res1I[[#This Row],[Level (m)]]&gt;0,Cleanup,0)+VLOOKUP(Res1I[[#This Row],[Level (m)]],Relocation[],3,FALSE)</f>
        <v>57627.495770541376</v>
      </c>
      <c r="AA77" s="177" cm="1">
        <f t="array" ref="AA77">AWE*Res1I[[#This Row],[Adjusted Damage Index]]*Inputs!$C$38*Inputs!D$30+IF(Res1I[[#This Row],[Level (m)]]&gt;0,Cleanup,0)+VLOOKUP(Res1I[[#This Row],[Level (m)]],Relocation[],3,FALSE)</f>
        <v>98854.991541082753</v>
      </c>
      <c r="AB77" s="177" cm="1">
        <f t="array" ref="AB77">AWE*Res1I[[#This Row],[Adjusted Damage Index]]*Inputs!$C$38*Inputs!E$30+IF(Res1I[[#This Row],[Level (m)]]&gt;0,Cleanup,0)+VLOOKUP(Res1I[[#This Row],[Level (m)]],Relocation[],3,FALSE)</f>
        <v>126339.98872144367</v>
      </c>
      <c r="AC77" s="177" cm="1">
        <f t="array" ref="AC77">AWE*Res1I[[#This Row],[Adjusted Damage Index]]*Inputs!$C$38*Inputs!F$30+IF(Res1I[[#This Row],[Level (m)]]&gt;0,Cleanup,0)+VLOOKUP(Res1I[[#This Row],[Level (m)]],Relocation[],3,FALSE)</f>
        <v>117178.3229946567</v>
      </c>
      <c r="AG77" s="50">
        <v>2</v>
      </c>
      <c r="AH77" s="176">
        <v>0.42328042328042326</v>
      </c>
      <c r="AI77" s="176" cm="1">
        <f t="array" ref="AI77">AWE*Res2I[[#This Row],[Damage Index]]*Actual_to_Potential</f>
        <v>0.39317299519904442</v>
      </c>
      <c r="AJ77" s="177" cm="1">
        <f t="array" ref="AJ77">AWE*Res2I[[#This Row],[Adjusted Damage Index]]*Inputs!$C$38*Inputs!C$31+IF(Res2I[[#This Row],[Level (m)]]&gt;0,Cleanup,0)+VLOOKUP(Res2I[[#This Row],[Level (m)]],Relocation[],3,FALSE)</f>
        <v>34295.146543352865</v>
      </c>
      <c r="AK77" s="177" cm="1">
        <f t="array" ref="AK77">AWE*Res2I[[#This Row],[Adjusted Damage Index]]*Inputs!$C$38*Inputs!D$31+IF(Res2I[[#This Row],[Level (m)]]&gt;0,Cleanup,0)+VLOOKUP(Res2I[[#This Row],[Level (m)]],Relocation[],3,FALSE)</f>
        <v>52190.293086705722</v>
      </c>
      <c r="AL77" s="177" cm="1">
        <f t="array" ref="AL77">AWE*Res2I[[#This Row],[Adjusted Damage Index]]*Inputs!$C$38*Inputs!E$31+IF(Res2I[[#This Row],[Level (m)]]&gt;0,Cleanup,0)+VLOOKUP(Res2I[[#This Row],[Level (m)]],Relocation[],3,FALSE)</f>
        <v>64120.390782274291</v>
      </c>
      <c r="AM77" s="177" cm="1">
        <f t="array" ref="AM77">AWE*Res2I[[#This Row],[Adjusted Damage Index]]*Inputs!$C$38*Inputs!F$31+IF(Res2I[[#This Row],[Level (m)]]&gt;0,Cleanup,0)+VLOOKUP(Res2I[[#This Row],[Level (m)]],Relocation[],3,FALSE)</f>
        <v>60143.691550418102</v>
      </c>
    </row>
    <row r="78" spans="3:39" x14ac:dyDescent="0.3">
      <c r="C78" s="50">
        <v>2.0499999999999998</v>
      </c>
      <c r="D78" s="176">
        <v>0.31790000000000002</v>
      </c>
      <c r="E78" s="176"/>
      <c r="F78" s="177" cm="1">
        <f t="array" ref="F78">AWE*Res1S[[#This Row],[Damage Index]]*Inputs!C$30*Inputs!C$25</f>
        <v>59057.630969609265</v>
      </c>
      <c r="G78" s="177" cm="1">
        <f t="array" ref="G78">AWE*Res1S[[#This Row],[Damage Index]]*Inputs!D$30*Inputs!D$25</f>
        <v>118115.26193921853</v>
      </c>
      <c r="H78" s="177" cm="1">
        <f t="array" ref="H78">AWE*Res1S[[#This Row],[Damage Index]]*Inputs!E$30*Inputs!E$25</f>
        <v>157487.01591895803</v>
      </c>
      <c r="I78" s="177" cm="1">
        <f t="array" ref="I78">AWE*Res1S[[#This Row],[Damage Index]]*Inputs!F$30*Inputs!F$25</f>
        <v>144363.09792571154</v>
      </c>
      <c r="M78" s="50">
        <v>2.0499999999999998</v>
      </c>
      <c r="N78" s="176">
        <v>0.17484500000000003</v>
      </c>
      <c r="O78" s="176"/>
      <c r="P78" s="177" cm="1">
        <f t="array" ref="P78">AWE*Res2S[[#This Row],[Damage Index]]*Inputs!C$30*Inputs!C$25</f>
        <v>32481.697033285094</v>
      </c>
      <c r="Q78" s="177" cm="1">
        <f t="array" ref="Q78">AWE*Res2S[[#This Row],[Damage Index]]*Inputs!D$30*Inputs!D$25</f>
        <v>64963.394066570188</v>
      </c>
      <c r="R78" s="177" cm="1">
        <f t="array" ref="R78">AWE*Res2S[[#This Row],[Damage Index]]*Inputs!E$30*Inputs!E$25</f>
        <v>86617.858755426918</v>
      </c>
      <c r="S78" s="177" cm="1">
        <f t="array" ref="S78">AWE*Res2S[[#This Row],[Damage Index]]*Inputs!F$30*Inputs!F$25</f>
        <v>79399.703859141344</v>
      </c>
      <c r="W78" s="50">
        <v>2.0499999999999998</v>
      </c>
      <c r="X78" s="176">
        <v>0.97765208496299416</v>
      </c>
      <c r="Y78" s="176" cm="1">
        <f t="array" ref="Y78">AWE*Res1I[[#This Row],[Damage Index]]*Actual_to_Potential</f>
        <v>0.90811286647394762</v>
      </c>
      <c r="Z78" s="177" cm="1">
        <f t="array" ref="Z78">AWE*Res1I[[#This Row],[Adjusted Damage Index]]*Inputs!$C$38*Inputs!C$30+IF(Res1I[[#This Row],[Level (m)]]&gt;0,Cleanup,0)+VLOOKUP(Res1I[[#This Row],[Level (m)]],Relocation[],3,FALSE)</f>
        <v>57732.474564354357</v>
      </c>
      <c r="AA78" s="177" cm="1">
        <f t="array" ref="AA78">AWE*Res1I[[#This Row],[Adjusted Damage Index]]*Inputs!$C$38*Inputs!D$30+IF(Res1I[[#This Row],[Level (m)]]&gt;0,Cleanup,0)+VLOOKUP(Res1I[[#This Row],[Level (m)]],Relocation[],3,FALSE)</f>
        <v>99064.949128708715</v>
      </c>
      <c r="AB78" s="177" cm="1">
        <f t="array" ref="AB78">AWE*Res1I[[#This Row],[Adjusted Damage Index]]*Inputs!$C$38*Inputs!E$30+IF(Res1I[[#This Row],[Level (m)]]&gt;0,Cleanup,0)+VLOOKUP(Res1I[[#This Row],[Level (m)]],Relocation[],3,FALSE)</f>
        <v>126619.93217161161</v>
      </c>
      <c r="AC78" s="177" cm="1">
        <f t="array" ref="AC78">AWE*Res1I[[#This Row],[Adjusted Damage Index]]*Inputs!$C$38*Inputs!F$30+IF(Res1I[[#This Row],[Level (m)]]&gt;0,Cleanup,0)+VLOOKUP(Res1I[[#This Row],[Level (m)]],Relocation[],3,FALSE)</f>
        <v>117434.93782397732</v>
      </c>
      <c r="AG78" s="50">
        <v>2.0499999999999998</v>
      </c>
      <c r="AH78" s="176">
        <v>0.42433862433862429</v>
      </c>
      <c r="AI78" s="176" cm="1">
        <f t="array" ref="AI78">AWE*Res2I[[#This Row],[Damage Index]]*Actual_to_Potential</f>
        <v>0.39415592768704194</v>
      </c>
      <c r="AJ78" s="177" cm="1">
        <f t="array" ref="AJ78">AWE*Res2I[[#This Row],[Adjusted Damage Index]]*Inputs!$C$38*Inputs!C$31+IF(Res2I[[#This Row],[Level (m)]]&gt;0,Cleanup,0)+VLOOKUP(Res2I[[#This Row],[Level (m)]],Relocation[],3,FALSE)</f>
        <v>34339.884409711238</v>
      </c>
      <c r="AK78" s="177" cm="1">
        <f t="array" ref="AK78">AWE*Res2I[[#This Row],[Adjusted Damage Index]]*Inputs!$C$38*Inputs!D$31+IF(Res2I[[#This Row],[Level (m)]]&gt;0,Cleanup,0)+VLOOKUP(Res2I[[#This Row],[Level (m)]],Relocation[],3,FALSE)</f>
        <v>52279.768819422476</v>
      </c>
      <c r="AL78" s="177" cm="1">
        <f t="array" ref="AL78">AWE*Res2I[[#This Row],[Adjusted Damage Index]]*Inputs!$C$38*Inputs!E$31+IF(Res2I[[#This Row],[Level (m)]]&gt;0,Cleanup,0)+VLOOKUP(Res2I[[#This Row],[Level (m)]],Relocation[],3,FALSE)</f>
        <v>64239.691759229965</v>
      </c>
      <c r="AM78" s="177" cm="1">
        <f t="array" ref="AM78">AWE*Res2I[[#This Row],[Adjusted Damage Index]]*Inputs!$C$38*Inputs!F$31+IF(Res2I[[#This Row],[Level (m)]]&gt;0,Cleanup,0)+VLOOKUP(Res2I[[#This Row],[Level (m)]],Relocation[],3,FALSE)</f>
        <v>60253.050779294135</v>
      </c>
    </row>
    <row r="79" spans="3:39" x14ac:dyDescent="0.3">
      <c r="C79" s="50">
        <v>2.1</v>
      </c>
      <c r="D79" s="176">
        <v>0.32459166666666672</v>
      </c>
      <c r="E79" s="176"/>
      <c r="F79" s="177" cm="1">
        <f t="array" ref="F79">AWE*Res1S[[#This Row],[Damage Index]]*Inputs!C$30*Inputs!C$25</f>
        <v>60300.770260492049</v>
      </c>
      <c r="G79" s="177" cm="1">
        <f t="array" ref="G79">AWE*Res1S[[#This Row],[Damage Index]]*Inputs!D$30*Inputs!D$25</f>
        <v>120601.5405209841</v>
      </c>
      <c r="H79" s="177" cm="1">
        <f t="array" ref="H79">AWE*Res1S[[#This Row],[Damage Index]]*Inputs!E$30*Inputs!E$25</f>
        <v>160802.05402797883</v>
      </c>
      <c r="I79" s="177" cm="1">
        <f t="array" ref="I79">AWE*Res1S[[#This Row],[Damage Index]]*Inputs!F$30*Inputs!F$25</f>
        <v>147401.88285898056</v>
      </c>
      <c r="M79" s="50">
        <v>2.1</v>
      </c>
      <c r="N79" s="176">
        <v>0.17852541666666671</v>
      </c>
      <c r="O79" s="176"/>
      <c r="P79" s="177" cm="1">
        <f t="array" ref="P79">AWE*Res2S[[#This Row],[Damage Index]]*Inputs!C$30*Inputs!C$25</f>
        <v>33165.423643270631</v>
      </c>
      <c r="Q79" s="177" cm="1">
        <f t="array" ref="Q79">AWE*Res2S[[#This Row],[Damage Index]]*Inputs!D$30*Inputs!D$25</f>
        <v>66330.847286541262</v>
      </c>
      <c r="R79" s="177" cm="1">
        <f t="array" ref="R79">AWE*Res2S[[#This Row],[Damage Index]]*Inputs!E$30*Inputs!E$25</f>
        <v>88441.12971538835</v>
      </c>
      <c r="S79" s="177" cm="1">
        <f t="array" ref="S79">AWE*Res2S[[#This Row],[Damage Index]]*Inputs!F$30*Inputs!F$25</f>
        <v>81071.035572439316</v>
      </c>
      <c r="W79" s="50">
        <v>2.1</v>
      </c>
      <c r="X79" s="176">
        <v>0.98013518663377264</v>
      </c>
      <c r="Y79" s="176" cm="1">
        <f t="array" ref="Y79">AWE*Res1I[[#This Row],[Damage Index]]*Actual_to_Potential</f>
        <v>0.91041934810548042</v>
      </c>
      <c r="Z79" s="177" cm="1">
        <f t="array" ref="Z79">AWE*Res1I[[#This Row],[Adjusted Damage Index]]*Inputs!$C$38*Inputs!C$30+IF(Res1I[[#This Row],[Level (m)]]&gt;0,Cleanup,0)+VLOOKUP(Res1I[[#This Row],[Level (m)]],Relocation[],3,FALSE)</f>
        <v>57837.453358167331</v>
      </c>
      <c r="AA79" s="177" cm="1">
        <f t="array" ref="AA79">AWE*Res1I[[#This Row],[Adjusted Damage Index]]*Inputs!$C$38*Inputs!D$30+IF(Res1I[[#This Row],[Level (m)]]&gt;0,Cleanup,0)+VLOOKUP(Res1I[[#This Row],[Level (m)]],Relocation[],3,FALSE)</f>
        <v>99274.906716334663</v>
      </c>
      <c r="AB79" s="177" cm="1">
        <f t="array" ref="AB79">AWE*Res1I[[#This Row],[Adjusted Damage Index]]*Inputs!$C$38*Inputs!E$30+IF(Res1I[[#This Row],[Level (m)]]&gt;0,Cleanup,0)+VLOOKUP(Res1I[[#This Row],[Level (m)]],Relocation[],3,FALSE)</f>
        <v>126899.87562177956</v>
      </c>
      <c r="AC79" s="177" cm="1">
        <f t="array" ref="AC79">AWE*Res1I[[#This Row],[Adjusted Damage Index]]*Inputs!$C$38*Inputs!F$30+IF(Res1I[[#This Row],[Level (m)]]&gt;0,Cleanup,0)+VLOOKUP(Res1I[[#This Row],[Level (m)]],Relocation[],3,FALSE)</f>
        <v>117691.55265329793</v>
      </c>
      <c r="AG79" s="50">
        <v>2.1</v>
      </c>
      <c r="AH79" s="176">
        <v>0.42539682539682538</v>
      </c>
      <c r="AI79" s="176" cm="1">
        <f t="array" ref="AI79">AWE*Res2I[[#This Row],[Damage Index]]*Actual_to_Potential</f>
        <v>0.39513886017503963</v>
      </c>
      <c r="AJ79" s="177" cm="1">
        <f t="array" ref="AJ79">AWE*Res2I[[#This Row],[Adjusted Damage Index]]*Inputs!$C$38*Inputs!C$31+IF(Res2I[[#This Row],[Level (m)]]&gt;0,Cleanup,0)+VLOOKUP(Res2I[[#This Row],[Level (m)]],Relocation[],3,FALSE)</f>
        <v>34384.622276069626</v>
      </c>
      <c r="AK79" s="177" cm="1">
        <f t="array" ref="AK79">AWE*Res2I[[#This Row],[Adjusted Damage Index]]*Inputs!$C$38*Inputs!D$31+IF(Res2I[[#This Row],[Level (m)]]&gt;0,Cleanup,0)+VLOOKUP(Res2I[[#This Row],[Level (m)]],Relocation[],3,FALSE)</f>
        <v>52369.244552139244</v>
      </c>
      <c r="AL79" s="177" cm="1">
        <f t="array" ref="AL79">AWE*Res2I[[#This Row],[Adjusted Damage Index]]*Inputs!$C$38*Inputs!E$31+IF(Res2I[[#This Row],[Level (m)]]&gt;0,Cleanup,0)+VLOOKUP(Res2I[[#This Row],[Level (m)]],Relocation[],3,FALSE)</f>
        <v>64358.992736185661</v>
      </c>
      <c r="AM79" s="177" cm="1">
        <f t="array" ref="AM79">AWE*Res2I[[#This Row],[Adjusted Damage Index]]*Inputs!$C$38*Inputs!F$31+IF(Res2I[[#This Row],[Level (m)]]&gt;0,Cleanup,0)+VLOOKUP(Res2I[[#This Row],[Level (m)]],Relocation[],3,FALSE)</f>
        <v>60362.410008170191</v>
      </c>
    </row>
    <row r="80" spans="3:39" x14ac:dyDescent="0.3">
      <c r="C80" s="50">
        <v>2.15</v>
      </c>
      <c r="D80" s="176">
        <v>0.33128333333333337</v>
      </c>
      <c r="E80" s="176"/>
      <c r="F80" s="177" cm="1">
        <f t="array" ref="F80">AWE*Res1S[[#This Row],[Damage Index]]*Inputs!C$30*Inputs!C$25</f>
        <v>61543.909551374818</v>
      </c>
      <c r="G80" s="177" cm="1">
        <f t="array" ref="G80">AWE*Res1S[[#This Row],[Damage Index]]*Inputs!D$30*Inputs!D$25</f>
        <v>123087.81910274964</v>
      </c>
      <c r="H80" s="177" cm="1">
        <f t="array" ref="H80">AWE*Res1S[[#This Row],[Damage Index]]*Inputs!E$30*Inputs!E$25</f>
        <v>164117.09213699953</v>
      </c>
      <c r="I80" s="177" cm="1">
        <f t="array" ref="I80">AWE*Res1S[[#This Row],[Damage Index]]*Inputs!F$30*Inputs!F$25</f>
        <v>150440.66779224956</v>
      </c>
      <c r="M80" s="50">
        <v>2.15</v>
      </c>
      <c r="N80" s="176">
        <v>0.18220583333333337</v>
      </c>
      <c r="O80" s="176"/>
      <c r="P80" s="177" cm="1">
        <f t="array" ref="P80">AWE*Res2S[[#This Row],[Damage Index]]*Inputs!C$30*Inputs!C$25</f>
        <v>33849.150253256157</v>
      </c>
      <c r="Q80" s="177" cm="1">
        <f t="array" ref="Q80">AWE*Res2S[[#This Row],[Damage Index]]*Inputs!D$30*Inputs!D$25</f>
        <v>67698.300506512314</v>
      </c>
      <c r="R80" s="177" cm="1">
        <f t="array" ref="R80">AWE*Res2S[[#This Row],[Damage Index]]*Inputs!E$30*Inputs!E$25</f>
        <v>90264.400675349752</v>
      </c>
      <c r="S80" s="177" cm="1">
        <f t="array" ref="S80">AWE*Res2S[[#This Row],[Damage Index]]*Inputs!F$30*Inputs!F$25</f>
        <v>82742.367285737273</v>
      </c>
      <c r="W80" s="50">
        <v>2.15</v>
      </c>
      <c r="X80" s="176">
        <v>0.982618288304551</v>
      </c>
      <c r="Y80" s="176" cm="1">
        <f t="array" ref="Y80">AWE*Res1I[[#This Row],[Damage Index]]*Actual_to_Potential</f>
        <v>0.91272582973701311</v>
      </c>
      <c r="Z80" s="177" cm="1">
        <f t="array" ref="Z80">AWE*Res1I[[#This Row],[Adjusted Damage Index]]*Inputs!$C$38*Inputs!C$30+IF(Res1I[[#This Row],[Level (m)]]&gt;0,Cleanup,0)+VLOOKUP(Res1I[[#This Row],[Level (m)]],Relocation[],3,FALSE)</f>
        <v>57942.432151980298</v>
      </c>
      <c r="AA80" s="177" cm="1">
        <f t="array" ref="AA80">AWE*Res1I[[#This Row],[Adjusted Damage Index]]*Inputs!$C$38*Inputs!D$30+IF(Res1I[[#This Row],[Level (m)]]&gt;0,Cleanup,0)+VLOOKUP(Res1I[[#This Row],[Level (m)]],Relocation[],3,FALSE)</f>
        <v>99484.864303960596</v>
      </c>
      <c r="AB80" s="177" cm="1">
        <f t="array" ref="AB80">AWE*Res1I[[#This Row],[Adjusted Damage Index]]*Inputs!$C$38*Inputs!E$30+IF(Res1I[[#This Row],[Level (m)]]&gt;0,Cleanup,0)+VLOOKUP(Res1I[[#This Row],[Level (m)]],Relocation[],3,FALSE)</f>
        <v>127179.81907194747</v>
      </c>
      <c r="AC80" s="177" cm="1">
        <f t="array" ref="AC80">AWE*Res1I[[#This Row],[Adjusted Damage Index]]*Inputs!$C$38*Inputs!F$30+IF(Res1I[[#This Row],[Level (m)]]&gt;0,Cleanup,0)+VLOOKUP(Res1I[[#This Row],[Level (m)]],Relocation[],3,FALSE)</f>
        <v>117948.16748261852</v>
      </c>
      <c r="AG80" s="50">
        <v>2.15</v>
      </c>
      <c r="AH80" s="176">
        <v>0.42645502645502642</v>
      </c>
      <c r="AI80" s="176" cm="1">
        <f t="array" ref="AI80">AWE*Res2I[[#This Row],[Damage Index]]*Actual_to_Potential</f>
        <v>0.39612179266303721</v>
      </c>
      <c r="AJ80" s="177" cm="1">
        <f t="array" ref="AJ80">AWE*Res2I[[#This Row],[Adjusted Damage Index]]*Inputs!$C$38*Inputs!C$31+IF(Res2I[[#This Row],[Level (m)]]&gt;0,Cleanup,0)+VLOOKUP(Res2I[[#This Row],[Level (m)]],Relocation[],3,FALSE)</f>
        <v>34429.360142428006</v>
      </c>
      <c r="AK80" s="177" cm="1">
        <f t="array" ref="AK80">AWE*Res2I[[#This Row],[Adjusted Damage Index]]*Inputs!$C$38*Inputs!D$31+IF(Res2I[[#This Row],[Level (m)]]&gt;0,Cleanup,0)+VLOOKUP(Res2I[[#This Row],[Level (m)]],Relocation[],3,FALSE)</f>
        <v>52458.720284856012</v>
      </c>
      <c r="AL80" s="177" cm="1">
        <f t="array" ref="AL80">AWE*Res2I[[#This Row],[Adjusted Damage Index]]*Inputs!$C$38*Inputs!E$31+IF(Res2I[[#This Row],[Level (m)]]&gt;0,Cleanup,0)+VLOOKUP(Res2I[[#This Row],[Level (m)]],Relocation[],3,FALSE)</f>
        <v>64478.293713141349</v>
      </c>
      <c r="AM80" s="177" cm="1">
        <f t="array" ref="AM80">AWE*Res2I[[#This Row],[Adjusted Damage Index]]*Inputs!$C$38*Inputs!F$31+IF(Res2I[[#This Row],[Level (m)]]&gt;0,Cleanup,0)+VLOOKUP(Res2I[[#This Row],[Level (m)]],Relocation[],3,FALSE)</f>
        <v>60471.769237046232</v>
      </c>
    </row>
    <row r="81" spans="3:39" x14ac:dyDescent="0.3">
      <c r="C81" s="50">
        <v>2.2000000000000002</v>
      </c>
      <c r="D81" s="176">
        <v>0.33797500000000008</v>
      </c>
      <c r="E81" s="176"/>
      <c r="F81" s="177" cm="1">
        <f t="array" ref="F81">AWE*Res1S[[#This Row],[Damage Index]]*Inputs!C$30*Inputs!C$25</f>
        <v>62787.048842257602</v>
      </c>
      <c r="G81" s="177" cm="1">
        <f t="array" ref="G81">AWE*Res1S[[#This Row],[Damage Index]]*Inputs!D$30*Inputs!D$25</f>
        <v>125574.0976845152</v>
      </c>
      <c r="H81" s="177" cm="1">
        <f t="array" ref="H81">AWE*Res1S[[#This Row],[Damage Index]]*Inputs!E$30*Inputs!E$25</f>
        <v>167432.13024602027</v>
      </c>
      <c r="I81" s="177" cm="1">
        <f t="array" ref="I81">AWE*Res1S[[#This Row],[Damage Index]]*Inputs!F$30*Inputs!F$25</f>
        <v>153479.45272551861</v>
      </c>
      <c r="M81" s="50">
        <v>2.2000000000000002</v>
      </c>
      <c r="N81" s="176">
        <v>0.18588625000000006</v>
      </c>
      <c r="O81" s="176"/>
      <c r="P81" s="177" cm="1">
        <f t="array" ref="P81">AWE*Res2S[[#This Row],[Damage Index]]*Inputs!C$30*Inputs!C$25</f>
        <v>34532.87686324169</v>
      </c>
      <c r="Q81" s="177" cm="1">
        <f t="array" ref="Q81">AWE*Res2S[[#This Row],[Damage Index]]*Inputs!D$30*Inputs!D$25</f>
        <v>69065.753726483381</v>
      </c>
      <c r="R81" s="177" cm="1">
        <f t="array" ref="R81">AWE*Res2S[[#This Row],[Damage Index]]*Inputs!E$30*Inputs!E$25</f>
        <v>92087.67163531117</v>
      </c>
      <c r="S81" s="177" cm="1">
        <f t="array" ref="S81">AWE*Res2S[[#This Row],[Damage Index]]*Inputs!F$30*Inputs!F$25</f>
        <v>84413.69899903523</v>
      </c>
      <c r="W81" s="50">
        <v>2.2000000000000002</v>
      </c>
      <c r="X81" s="176">
        <v>0.98510138997532948</v>
      </c>
      <c r="Y81" s="176" cm="1">
        <f t="array" ref="Y81">AWE*Res1I[[#This Row],[Damage Index]]*Actual_to_Potential</f>
        <v>0.9150323113685459</v>
      </c>
      <c r="Z81" s="177" cm="1">
        <f t="array" ref="Z81">AWE*Res1I[[#This Row],[Adjusted Damage Index]]*Inputs!$C$38*Inputs!C$30+IF(Res1I[[#This Row],[Level (m)]]&gt;0,Cleanup,0)+VLOOKUP(Res1I[[#This Row],[Level (m)]],Relocation[],3,FALSE)</f>
        <v>58047.410945793279</v>
      </c>
      <c r="AA81" s="177" cm="1">
        <f t="array" ref="AA81">AWE*Res1I[[#This Row],[Adjusted Damage Index]]*Inputs!$C$38*Inputs!D$30+IF(Res1I[[#This Row],[Level (m)]]&gt;0,Cleanup,0)+VLOOKUP(Res1I[[#This Row],[Level (m)]],Relocation[],3,FALSE)</f>
        <v>99694.821891586558</v>
      </c>
      <c r="AB81" s="177" cm="1">
        <f t="array" ref="AB81">AWE*Res1I[[#This Row],[Adjusted Damage Index]]*Inputs!$C$38*Inputs!E$30+IF(Res1I[[#This Row],[Level (m)]]&gt;0,Cleanup,0)+VLOOKUP(Res1I[[#This Row],[Level (m)]],Relocation[],3,FALSE)</f>
        <v>127459.7625221154</v>
      </c>
      <c r="AC81" s="177" cm="1">
        <f t="array" ref="AC81">AWE*Res1I[[#This Row],[Adjusted Damage Index]]*Inputs!$C$38*Inputs!F$30+IF(Res1I[[#This Row],[Level (m)]]&gt;0,Cleanup,0)+VLOOKUP(Res1I[[#This Row],[Level (m)]],Relocation[],3,FALSE)</f>
        <v>118204.78231193913</v>
      </c>
      <c r="AG81" s="50">
        <v>2.2000000000000002</v>
      </c>
      <c r="AH81" s="176">
        <v>0.42751322751322751</v>
      </c>
      <c r="AI81" s="176" cm="1">
        <f t="array" ref="AI81">AWE*Res2I[[#This Row],[Damage Index]]*Actual_to_Potential</f>
        <v>0.39710472515103484</v>
      </c>
      <c r="AJ81" s="177" cm="1">
        <f t="array" ref="AJ81">AWE*Res2I[[#This Row],[Adjusted Damage Index]]*Inputs!$C$38*Inputs!C$31+IF(Res2I[[#This Row],[Level (m)]]&gt;0,Cleanup,0)+VLOOKUP(Res2I[[#This Row],[Level (m)]],Relocation[],3,FALSE)</f>
        <v>34474.098008786386</v>
      </c>
      <c r="AK81" s="177" cm="1">
        <f t="array" ref="AK81">AWE*Res2I[[#This Row],[Adjusted Damage Index]]*Inputs!$C$38*Inputs!D$31+IF(Res2I[[#This Row],[Level (m)]]&gt;0,Cleanup,0)+VLOOKUP(Res2I[[#This Row],[Level (m)]],Relocation[],3,FALSE)</f>
        <v>52548.196017572773</v>
      </c>
      <c r="AL81" s="177" cm="1">
        <f t="array" ref="AL81">AWE*Res2I[[#This Row],[Adjusted Damage Index]]*Inputs!$C$38*Inputs!E$31+IF(Res2I[[#This Row],[Level (m)]]&gt;0,Cleanup,0)+VLOOKUP(Res2I[[#This Row],[Level (m)]],Relocation[],3,FALSE)</f>
        <v>64597.59469009703</v>
      </c>
      <c r="AM81" s="177" cm="1">
        <f t="array" ref="AM81">AWE*Res2I[[#This Row],[Adjusted Damage Index]]*Inputs!$C$38*Inputs!F$31+IF(Res2I[[#This Row],[Level (m)]]&gt;0,Cleanup,0)+VLOOKUP(Res2I[[#This Row],[Level (m)]],Relocation[],3,FALSE)</f>
        <v>60581.12846592228</v>
      </c>
    </row>
    <row r="82" spans="3:39" x14ac:dyDescent="0.3">
      <c r="C82" s="50">
        <v>2.25</v>
      </c>
      <c r="D82" s="176">
        <v>0.34466666666666668</v>
      </c>
      <c r="E82" s="176"/>
      <c r="F82" s="177" cm="1">
        <f t="array" ref="F82">AWE*Res1S[[#This Row],[Damage Index]]*Inputs!C$30*Inputs!C$25</f>
        <v>64030.188133140371</v>
      </c>
      <c r="G82" s="177" cm="1">
        <f t="array" ref="G82">AWE*Res1S[[#This Row],[Damage Index]]*Inputs!D$30*Inputs!D$25</f>
        <v>128060.37626628074</v>
      </c>
      <c r="H82" s="177" cm="1">
        <f t="array" ref="H82">AWE*Res1S[[#This Row],[Damage Index]]*Inputs!E$30*Inputs!E$25</f>
        <v>170747.16835504101</v>
      </c>
      <c r="I82" s="177" cm="1">
        <f t="array" ref="I82">AWE*Res1S[[#This Row],[Damage Index]]*Inputs!F$30*Inputs!F$25</f>
        <v>156518.23765878761</v>
      </c>
      <c r="M82" s="50">
        <v>2.25</v>
      </c>
      <c r="N82" s="176">
        <v>0.18956666666666672</v>
      </c>
      <c r="O82" s="176"/>
      <c r="P82" s="177" cm="1">
        <f t="array" ref="P82">AWE*Res2S[[#This Row],[Damage Index]]*Inputs!C$30*Inputs!C$25</f>
        <v>35216.603473227216</v>
      </c>
      <c r="Q82" s="177" cm="1">
        <f t="array" ref="Q82">AWE*Res2S[[#This Row],[Damage Index]]*Inputs!D$30*Inputs!D$25</f>
        <v>70433.206946454433</v>
      </c>
      <c r="R82" s="177" cm="1">
        <f t="array" ref="R82">AWE*Res2S[[#This Row],[Damage Index]]*Inputs!E$30*Inputs!E$25</f>
        <v>93910.942595272572</v>
      </c>
      <c r="S82" s="177" cm="1">
        <f t="array" ref="S82">AWE*Res2S[[#This Row],[Damage Index]]*Inputs!F$30*Inputs!F$25</f>
        <v>86085.030712333188</v>
      </c>
      <c r="W82" s="50">
        <v>2.25</v>
      </c>
      <c r="X82" s="176">
        <v>0.98758449164610795</v>
      </c>
      <c r="Y82" s="176" cm="1">
        <f t="array" ref="Y82">AWE*Res1I[[#This Row],[Damage Index]]*Actual_to_Potential</f>
        <v>0.9173387930000787</v>
      </c>
      <c r="Z82" s="177" cm="1">
        <f t="array" ref="Z82">AWE*Res1I[[#This Row],[Adjusted Damage Index]]*Inputs!$C$38*Inputs!C$30+IF(Res1I[[#This Row],[Level (m)]]&gt;0,Cleanup,0)+VLOOKUP(Res1I[[#This Row],[Level (m)]],Relocation[],3,FALSE)</f>
        <v>58152.38973960626</v>
      </c>
      <c r="AA82" s="177" cm="1">
        <f t="array" ref="AA82">AWE*Res1I[[#This Row],[Adjusted Damage Index]]*Inputs!$C$38*Inputs!D$30+IF(Res1I[[#This Row],[Level (m)]]&gt;0,Cleanup,0)+VLOOKUP(Res1I[[#This Row],[Level (m)]],Relocation[],3,FALSE)</f>
        <v>99904.779479212521</v>
      </c>
      <c r="AB82" s="177" cm="1">
        <f t="array" ref="AB82">AWE*Res1I[[#This Row],[Adjusted Damage Index]]*Inputs!$C$38*Inputs!E$30+IF(Res1I[[#This Row],[Level (m)]]&gt;0,Cleanup,0)+VLOOKUP(Res1I[[#This Row],[Level (m)]],Relocation[],3,FALSE)</f>
        <v>127739.70597228337</v>
      </c>
      <c r="AC82" s="177" cm="1">
        <f t="array" ref="AC82">AWE*Res1I[[#This Row],[Adjusted Damage Index]]*Inputs!$C$38*Inputs!F$30+IF(Res1I[[#This Row],[Level (m)]]&gt;0,Cleanup,0)+VLOOKUP(Res1I[[#This Row],[Level (m)]],Relocation[],3,FALSE)</f>
        <v>118461.39714125975</v>
      </c>
      <c r="AG82" s="50">
        <v>2.25</v>
      </c>
      <c r="AH82" s="176">
        <v>0.42857142857142855</v>
      </c>
      <c r="AI82" s="176" cm="1">
        <f t="array" ref="AI82">AWE*Res2I[[#This Row],[Damage Index]]*Actual_to_Potential</f>
        <v>0.39808765763903242</v>
      </c>
      <c r="AJ82" s="177" cm="1">
        <f t="array" ref="AJ82">AWE*Res2I[[#This Row],[Adjusted Damage Index]]*Inputs!$C$38*Inputs!C$31+IF(Res2I[[#This Row],[Level (m)]]&gt;0,Cleanup,0)+VLOOKUP(Res2I[[#This Row],[Level (m)]],Relocation[],3,FALSE)</f>
        <v>34518.835875144767</v>
      </c>
      <c r="AK82" s="177" cm="1">
        <f t="array" ref="AK82">AWE*Res2I[[#This Row],[Adjusted Damage Index]]*Inputs!$C$38*Inputs!D$31+IF(Res2I[[#This Row],[Level (m)]]&gt;0,Cleanup,0)+VLOOKUP(Res2I[[#This Row],[Level (m)]],Relocation[],3,FALSE)</f>
        <v>52637.671750289534</v>
      </c>
      <c r="AL82" s="177" cm="1">
        <f t="array" ref="AL82">AWE*Res2I[[#This Row],[Adjusted Damage Index]]*Inputs!$C$38*Inputs!E$31+IF(Res2I[[#This Row],[Level (m)]]&gt;0,Cleanup,0)+VLOOKUP(Res2I[[#This Row],[Level (m)]],Relocation[],3,FALSE)</f>
        <v>64716.895667052711</v>
      </c>
      <c r="AM82" s="177" cm="1">
        <f t="array" ref="AM82">AWE*Res2I[[#This Row],[Adjusted Damage Index]]*Inputs!$C$38*Inputs!F$31+IF(Res2I[[#This Row],[Level (m)]]&gt;0,Cleanup,0)+VLOOKUP(Res2I[[#This Row],[Level (m)]],Relocation[],3,FALSE)</f>
        <v>60690.487694798321</v>
      </c>
    </row>
    <row r="83" spans="3:39" x14ac:dyDescent="0.3">
      <c r="C83" s="50">
        <v>2.2999999999999998</v>
      </c>
      <c r="D83" s="176">
        <v>0.35135833333333333</v>
      </c>
      <c r="E83" s="176"/>
      <c r="F83" s="177" cm="1">
        <f t="array" ref="F83">AWE*Res1S[[#This Row],[Damage Index]]*Inputs!C$30*Inputs!C$25</f>
        <v>65273.327424023148</v>
      </c>
      <c r="G83" s="177" cm="1">
        <f t="array" ref="G83">AWE*Res1S[[#This Row],[Damage Index]]*Inputs!D$30*Inputs!D$25</f>
        <v>130546.6548480463</v>
      </c>
      <c r="H83" s="177" cm="1">
        <f t="array" ref="H83">AWE*Res1S[[#This Row],[Damage Index]]*Inputs!E$30*Inputs!E$25</f>
        <v>174062.20646406175</v>
      </c>
      <c r="I83" s="177" cm="1">
        <f t="array" ref="I83">AWE*Res1S[[#This Row],[Damage Index]]*Inputs!F$30*Inputs!F$25</f>
        <v>159557.0225920566</v>
      </c>
      <c r="M83" s="50">
        <v>2.2999999999999998</v>
      </c>
      <c r="N83" s="176">
        <v>0.19324708333333335</v>
      </c>
      <c r="O83" s="176"/>
      <c r="P83" s="177" cm="1">
        <f t="array" ref="P83">AWE*Res2S[[#This Row],[Damage Index]]*Inputs!C$30*Inputs!C$25</f>
        <v>35900.330083212735</v>
      </c>
      <c r="Q83" s="177" cm="1">
        <f t="array" ref="Q83">AWE*Res2S[[#This Row],[Damage Index]]*Inputs!D$30*Inputs!D$25</f>
        <v>71800.66016642547</v>
      </c>
      <c r="R83" s="177" cm="1">
        <f t="array" ref="R83">AWE*Res2S[[#This Row],[Damage Index]]*Inputs!E$30*Inputs!E$25</f>
        <v>95734.213555233961</v>
      </c>
      <c r="S83" s="177" cm="1">
        <f t="array" ref="S83">AWE*Res2S[[#This Row],[Damage Index]]*Inputs!F$30*Inputs!F$25</f>
        <v>87756.36242563113</v>
      </c>
      <c r="W83" s="50">
        <v>2.2999999999999998</v>
      </c>
      <c r="X83" s="176">
        <v>0.99006759331688632</v>
      </c>
      <c r="Y83" s="176" cm="1">
        <f t="array" ref="Y83">AWE*Res1I[[#This Row],[Damage Index]]*Actual_to_Potential</f>
        <v>0.9196452746316115</v>
      </c>
      <c r="Z83" s="177" cm="1">
        <f t="array" ref="Z83">AWE*Res1I[[#This Row],[Adjusted Damage Index]]*Inputs!$C$38*Inputs!C$30+IF(Res1I[[#This Row],[Level (m)]]&gt;0,Cleanup,0)+VLOOKUP(Res1I[[#This Row],[Level (m)]],Relocation[],3,FALSE)</f>
        <v>58257.368533419234</v>
      </c>
      <c r="AA83" s="177" cm="1">
        <f t="array" ref="AA83">AWE*Res1I[[#This Row],[Adjusted Damage Index]]*Inputs!$C$38*Inputs!D$30+IF(Res1I[[#This Row],[Level (m)]]&gt;0,Cleanup,0)+VLOOKUP(Res1I[[#This Row],[Level (m)]],Relocation[],3,FALSE)</f>
        <v>100114.73706683847</v>
      </c>
      <c r="AB83" s="177" cm="1">
        <f t="array" ref="AB83">AWE*Res1I[[#This Row],[Adjusted Damage Index]]*Inputs!$C$38*Inputs!E$30+IF(Res1I[[#This Row],[Level (m)]]&gt;0,Cleanup,0)+VLOOKUP(Res1I[[#This Row],[Level (m)]],Relocation[],3,FALSE)</f>
        <v>128019.6494224513</v>
      </c>
      <c r="AC83" s="177" cm="1">
        <f t="array" ref="AC83">AWE*Res1I[[#This Row],[Adjusted Damage Index]]*Inputs!$C$38*Inputs!F$30+IF(Res1I[[#This Row],[Level (m)]]&gt;0,Cleanup,0)+VLOOKUP(Res1I[[#This Row],[Level (m)]],Relocation[],3,FALSE)</f>
        <v>118718.01197058035</v>
      </c>
      <c r="AG83" s="50">
        <v>2.2999999999999998</v>
      </c>
      <c r="AH83" s="176">
        <v>0.43174603174603171</v>
      </c>
      <c r="AI83" s="176" cm="1">
        <f t="array" ref="AI83">AWE*Res2I[[#This Row],[Damage Index]]*Actual_to_Potential</f>
        <v>0.40103645510302527</v>
      </c>
      <c r="AJ83" s="177" cm="1">
        <f t="array" ref="AJ83">AWE*Res2I[[#This Row],[Adjusted Damage Index]]*Inputs!$C$38*Inputs!C$31+IF(Res2I[[#This Row],[Level (m)]]&gt;0,Cleanup,0)+VLOOKUP(Res2I[[#This Row],[Level (m)]],Relocation[],3,FALSE)</f>
        <v>34653.049474219915</v>
      </c>
      <c r="AK83" s="177" cm="1">
        <f t="array" ref="AK83">AWE*Res2I[[#This Row],[Adjusted Damage Index]]*Inputs!$C$38*Inputs!D$31+IF(Res2I[[#This Row],[Level (m)]]&gt;0,Cleanup,0)+VLOOKUP(Res2I[[#This Row],[Level (m)]],Relocation[],3,FALSE)</f>
        <v>52906.098948439831</v>
      </c>
      <c r="AL83" s="177" cm="1">
        <f t="array" ref="AL83">AWE*Res2I[[#This Row],[Adjusted Damage Index]]*Inputs!$C$38*Inputs!E$31+IF(Res2I[[#This Row],[Level (m)]]&gt;0,Cleanup,0)+VLOOKUP(Res2I[[#This Row],[Level (m)]],Relocation[],3,FALSE)</f>
        <v>65074.798597919777</v>
      </c>
      <c r="AM83" s="177" cm="1">
        <f t="array" ref="AM83">AWE*Res2I[[#This Row],[Adjusted Damage Index]]*Inputs!$C$38*Inputs!F$31+IF(Res2I[[#This Row],[Level (m)]]&gt;0,Cleanup,0)+VLOOKUP(Res2I[[#This Row],[Level (m)]],Relocation[],3,FALSE)</f>
        <v>61018.565381426459</v>
      </c>
    </row>
    <row r="84" spans="3:39" x14ac:dyDescent="0.3">
      <c r="C84" s="50">
        <v>2.35</v>
      </c>
      <c r="D84" s="176">
        <v>0.35805000000000003</v>
      </c>
      <c r="E84" s="176"/>
      <c r="F84" s="177" cm="1">
        <f t="array" ref="F84">AWE*Res1S[[#This Row],[Damage Index]]*Inputs!C$30*Inputs!C$25</f>
        <v>66516.466714905939</v>
      </c>
      <c r="G84" s="177" cm="1">
        <f t="array" ref="G84">AWE*Res1S[[#This Row],[Damage Index]]*Inputs!D$30*Inputs!D$25</f>
        <v>133032.93342981188</v>
      </c>
      <c r="H84" s="177" cm="1">
        <f t="array" ref="H84">AWE*Res1S[[#This Row],[Damage Index]]*Inputs!E$30*Inputs!E$25</f>
        <v>177377.24457308251</v>
      </c>
      <c r="I84" s="177" cm="1">
        <f t="array" ref="I84">AWE*Res1S[[#This Row],[Damage Index]]*Inputs!F$30*Inputs!F$25</f>
        <v>162595.80752532562</v>
      </c>
      <c r="M84" s="50">
        <v>2.35</v>
      </c>
      <c r="N84" s="176">
        <v>0.19692750000000003</v>
      </c>
      <c r="O84" s="176"/>
      <c r="P84" s="177" cm="1">
        <f t="array" ref="P84">AWE*Res2S[[#This Row],[Damage Index]]*Inputs!C$30*Inputs!C$25</f>
        <v>36584.056693198261</v>
      </c>
      <c r="Q84" s="177" cm="1">
        <f t="array" ref="Q84">AWE*Res2S[[#This Row],[Damage Index]]*Inputs!D$30*Inputs!D$25</f>
        <v>73168.113386396522</v>
      </c>
      <c r="R84" s="177" cm="1">
        <f t="array" ref="R84">AWE*Res2S[[#This Row],[Damage Index]]*Inputs!E$30*Inputs!E$25</f>
        <v>97557.484515195378</v>
      </c>
      <c r="S84" s="177" cm="1">
        <f t="array" ref="S84">AWE*Res2S[[#This Row],[Damage Index]]*Inputs!F$30*Inputs!F$25</f>
        <v>89427.694138929102</v>
      </c>
      <c r="W84" s="50">
        <v>2.35</v>
      </c>
      <c r="X84" s="176">
        <v>0.99255069498766479</v>
      </c>
      <c r="Y84" s="176" cm="1">
        <f t="array" ref="Y84">AWE*Res1I[[#This Row],[Damage Index]]*Actual_to_Potential</f>
        <v>0.9219517562631443</v>
      </c>
      <c r="Z84" s="177" cm="1">
        <f t="array" ref="Z84">AWE*Res1I[[#This Row],[Adjusted Damage Index]]*Inputs!$C$38*Inputs!C$30+IF(Res1I[[#This Row],[Level (m)]]&gt;0,Cleanup,0)+VLOOKUP(Res1I[[#This Row],[Level (m)]],Relocation[],3,FALSE)</f>
        <v>58362.347327232215</v>
      </c>
      <c r="AA84" s="177" cm="1">
        <f t="array" ref="AA84">AWE*Res1I[[#This Row],[Adjusted Damage Index]]*Inputs!$C$38*Inputs!D$30+IF(Res1I[[#This Row],[Level (m)]]&gt;0,Cleanup,0)+VLOOKUP(Res1I[[#This Row],[Level (m)]],Relocation[],3,FALSE)</f>
        <v>100324.69465446443</v>
      </c>
      <c r="AB84" s="177" cm="1">
        <f t="array" ref="AB84">AWE*Res1I[[#This Row],[Adjusted Damage Index]]*Inputs!$C$38*Inputs!E$30+IF(Res1I[[#This Row],[Level (m)]]&gt;0,Cleanup,0)+VLOOKUP(Res1I[[#This Row],[Level (m)]],Relocation[],3,FALSE)</f>
        <v>128299.59287261924</v>
      </c>
      <c r="AC84" s="177" cm="1">
        <f t="array" ref="AC84">AWE*Res1I[[#This Row],[Adjusted Damage Index]]*Inputs!$C$38*Inputs!F$30+IF(Res1I[[#This Row],[Level (m)]]&gt;0,Cleanup,0)+VLOOKUP(Res1I[[#This Row],[Level (m)]],Relocation[],3,FALSE)</f>
        <v>118974.62679990097</v>
      </c>
      <c r="AG84" s="50">
        <v>2.35</v>
      </c>
      <c r="AH84" s="176">
        <v>0.43492063492063493</v>
      </c>
      <c r="AI84" s="176" cm="1">
        <f t="array" ref="AI84">AWE*Res2I[[#This Row],[Damage Index]]*Actual_to_Potential</f>
        <v>0.40398525256701812</v>
      </c>
      <c r="AJ84" s="177" cm="1">
        <f t="array" ref="AJ84">AWE*Res2I[[#This Row],[Adjusted Damage Index]]*Inputs!$C$38*Inputs!C$31+IF(Res2I[[#This Row],[Level (m)]]&gt;0,Cleanup,0)+VLOOKUP(Res2I[[#This Row],[Level (m)]],Relocation[],3,FALSE)</f>
        <v>34787.263073295064</v>
      </c>
      <c r="AK84" s="177" cm="1">
        <f t="array" ref="AK84">AWE*Res2I[[#This Row],[Adjusted Damage Index]]*Inputs!$C$38*Inputs!D$31+IF(Res2I[[#This Row],[Level (m)]]&gt;0,Cleanup,0)+VLOOKUP(Res2I[[#This Row],[Level (m)]],Relocation[],3,FALSE)</f>
        <v>53174.526146590128</v>
      </c>
      <c r="AL84" s="177" cm="1">
        <f t="array" ref="AL84">AWE*Res2I[[#This Row],[Adjusted Damage Index]]*Inputs!$C$38*Inputs!E$31+IF(Res2I[[#This Row],[Level (m)]]&gt;0,Cleanup,0)+VLOOKUP(Res2I[[#This Row],[Level (m)]],Relocation[],3,FALSE)</f>
        <v>65432.701528786834</v>
      </c>
      <c r="AM84" s="177" cm="1">
        <f t="array" ref="AM84">AWE*Res2I[[#This Row],[Adjusted Damage Index]]*Inputs!$C$38*Inputs!F$31+IF(Res2I[[#This Row],[Level (m)]]&gt;0,Cleanup,0)+VLOOKUP(Res2I[[#This Row],[Level (m)]],Relocation[],3,FALSE)</f>
        <v>61346.643068054596</v>
      </c>
    </row>
    <row r="85" spans="3:39" x14ac:dyDescent="0.3">
      <c r="C85" s="50">
        <v>2.4</v>
      </c>
      <c r="D85" s="176">
        <v>0.36474166666666669</v>
      </c>
      <c r="E85" s="176"/>
      <c r="F85" s="177" cm="1">
        <f t="array" ref="F85">AWE*Res1S[[#This Row],[Damage Index]]*Inputs!C$30*Inputs!C$25</f>
        <v>67759.606005788708</v>
      </c>
      <c r="G85" s="177" cm="1">
        <f t="array" ref="G85">AWE*Res1S[[#This Row],[Damage Index]]*Inputs!D$30*Inputs!D$25</f>
        <v>135519.21201157742</v>
      </c>
      <c r="H85" s="177" cm="1">
        <f t="array" ref="H85">AWE*Res1S[[#This Row],[Damage Index]]*Inputs!E$30*Inputs!E$25</f>
        <v>180692.28268210322</v>
      </c>
      <c r="I85" s="177" cm="1">
        <f t="array" ref="I85">AWE*Res1S[[#This Row],[Damage Index]]*Inputs!F$30*Inputs!F$25</f>
        <v>165634.59245859462</v>
      </c>
      <c r="M85" s="50">
        <v>2.4</v>
      </c>
      <c r="N85" s="176">
        <v>0.20060791666666669</v>
      </c>
      <c r="O85" s="176"/>
      <c r="P85" s="177" cm="1">
        <f t="array" ref="P85">AWE*Res2S[[#This Row],[Damage Index]]*Inputs!C$30*Inputs!C$25</f>
        <v>37267.783303183794</v>
      </c>
      <c r="Q85" s="177" cm="1">
        <f t="array" ref="Q85">AWE*Res2S[[#This Row],[Damage Index]]*Inputs!D$30*Inputs!D$25</f>
        <v>74535.566606367589</v>
      </c>
      <c r="R85" s="177" cm="1">
        <f t="array" ref="R85">AWE*Res2S[[#This Row],[Damage Index]]*Inputs!E$30*Inputs!E$25</f>
        <v>99380.755475156795</v>
      </c>
      <c r="S85" s="177" cm="1">
        <f t="array" ref="S85">AWE*Res2S[[#This Row],[Damage Index]]*Inputs!F$30*Inputs!F$25</f>
        <v>91099.02585222706</v>
      </c>
      <c r="W85" s="50">
        <v>2.4</v>
      </c>
      <c r="X85" s="176">
        <v>0.99503379665844316</v>
      </c>
      <c r="Y85" s="176" cm="1">
        <f t="array" ref="Y85">AWE*Res1I[[#This Row],[Damage Index]]*Actual_to_Potential</f>
        <v>0.92425823789467687</v>
      </c>
      <c r="Z85" s="177" cm="1">
        <f t="array" ref="Z85">AWE*Res1I[[#This Row],[Adjusted Damage Index]]*Inputs!$C$38*Inputs!C$30+IF(Res1I[[#This Row],[Level (m)]]&gt;0,Cleanup,0)+VLOOKUP(Res1I[[#This Row],[Level (m)]],Relocation[],3,FALSE)</f>
        <v>58467.326121045175</v>
      </c>
      <c r="AA85" s="177" cm="1">
        <f t="array" ref="AA85">AWE*Res1I[[#This Row],[Adjusted Damage Index]]*Inputs!$C$38*Inputs!D$30+IF(Res1I[[#This Row],[Level (m)]]&gt;0,Cleanup,0)+VLOOKUP(Res1I[[#This Row],[Level (m)]],Relocation[],3,FALSE)</f>
        <v>100534.65224209035</v>
      </c>
      <c r="AB85" s="177" cm="1">
        <f t="array" ref="AB85">AWE*Res1I[[#This Row],[Adjusted Damage Index]]*Inputs!$C$38*Inputs!E$30+IF(Res1I[[#This Row],[Level (m)]]&gt;0,Cleanup,0)+VLOOKUP(Res1I[[#This Row],[Level (m)]],Relocation[],3,FALSE)</f>
        <v>128579.53632278714</v>
      </c>
      <c r="AC85" s="177" cm="1">
        <f t="array" ref="AC85">AWE*Res1I[[#This Row],[Adjusted Damage Index]]*Inputs!$C$38*Inputs!F$30+IF(Res1I[[#This Row],[Level (m)]]&gt;0,Cleanup,0)+VLOOKUP(Res1I[[#This Row],[Level (m)]],Relocation[],3,FALSE)</f>
        <v>119231.24162922153</v>
      </c>
      <c r="AG85" s="50">
        <v>2.4</v>
      </c>
      <c r="AH85" s="176">
        <v>0.43809523809523809</v>
      </c>
      <c r="AI85" s="176" cm="1">
        <f t="array" ref="AI85">AWE*Res2I[[#This Row],[Damage Index]]*Actual_to_Potential</f>
        <v>0.40693405003101091</v>
      </c>
      <c r="AJ85" s="177" cm="1">
        <f t="array" ref="AJ85">AWE*Res2I[[#This Row],[Adjusted Damage Index]]*Inputs!$C$38*Inputs!C$31+IF(Res2I[[#This Row],[Level (m)]]&gt;0,Cleanup,0)+VLOOKUP(Res2I[[#This Row],[Level (m)]],Relocation[],3,FALSE)</f>
        <v>34921.476672370205</v>
      </c>
      <c r="AK85" s="177" cm="1">
        <f t="array" ref="AK85">AWE*Res2I[[#This Row],[Adjusted Damage Index]]*Inputs!$C$38*Inputs!D$31+IF(Res2I[[#This Row],[Level (m)]]&gt;0,Cleanup,0)+VLOOKUP(Res2I[[#This Row],[Level (m)]],Relocation[],3,FALSE)</f>
        <v>53442.95334474041</v>
      </c>
      <c r="AL85" s="177" cm="1">
        <f t="array" ref="AL85">AWE*Res2I[[#This Row],[Adjusted Damage Index]]*Inputs!$C$38*Inputs!E$31+IF(Res2I[[#This Row],[Level (m)]]&gt;0,Cleanup,0)+VLOOKUP(Res2I[[#This Row],[Level (m)]],Relocation[],3,FALSE)</f>
        <v>65790.604459653885</v>
      </c>
      <c r="AM85" s="177" cm="1">
        <f t="array" ref="AM85">AWE*Res2I[[#This Row],[Adjusted Damage Index]]*Inputs!$C$38*Inputs!F$31+IF(Res2I[[#This Row],[Level (m)]]&gt;0,Cleanup,0)+VLOOKUP(Res2I[[#This Row],[Level (m)]],Relocation[],3,FALSE)</f>
        <v>61674.720754682727</v>
      </c>
    </row>
    <row r="86" spans="3:39" x14ac:dyDescent="0.3">
      <c r="C86" s="50">
        <v>2.4500000000000002</v>
      </c>
      <c r="D86" s="176">
        <v>0.37143333333333339</v>
      </c>
      <c r="E86" s="176"/>
      <c r="F86" s="177" cm="1">
        <f t="array" ref="F86">AWE*Res1S[[#This Row],[Damage Index]]*Inputs!C$30*Inputs!C$25</f>
        <v>69002.745296671492</v>
      </c>
      <c r="G86" s="177" cm="1">
        <f t="array" ref="G86">AWE*Res1S[[#This Row],[Damage Index]]*Inputs!D$30*Inputs!D$25</f>
        <v>138005.49059334298</v>
      </c>
      <c r="H86" s="177" cm="1">
        <f t="array" ref="H86">AWE*Res1S[[#This Row],[Damage Index]]*Inputs!E$30*Inputs!E$25</f>
        <v>184007.32079112399</v>
      </c>
      <c r="I86" s="177" cm="1">
        <f t="array" ref="I86">AWE*Res1S[[#This Row],[Damage Index]]*Inputs!F$30*Inputs!F$25</f>
        <v>168673.37739186364</v>
      </c>
      <c r="M86" s="50">
        <v>2.4500000000000002</v>
      </c>
      <c r="N86" s="176">
        <v>0.20428833333333338</v>
      </c>
      <c r="O86" s="176"/>
      <c r="P86" s="177" cm="1">
        <f t="array" ref="P86">AWE*Res2S[[#This Row],[Damage Index]]*Inputs!C$30*Inputs!C$25</f>
        <v>37951.509913169328</v>
      </c>
      <c r="Q86" s="177" cm="1">
        <f t="array" ref="Q86">AWE*Res2S[[#This Row],[Damage Index]]*Inputs!D$30*Inputs!D$25</f>
        <v>75903.019826338656</v>
      </c>
      <c r="R86" s="177" cm="1">
        <f t="array" ref="R86">AWE*Res2S[[#This Row],[Damage Index]]*Inputs!E$30*Inputs!E$25</f>
        <v>101204.02643511821</v>
      </c>
      <c r="S86" s="177" cm="1">
        <f t="array" ref="S86">AWE*Res2S[[#This Row],[Damage Index]]*Inputs!F$30*Inputs!F$25</f>
        <v>92770.357565525017</v>
      </c>
      <c r="W86" s="50">
        <v>2.4500000000000002</v>
      </c>
      <c r="X86" s="176">
        <v>0.99751689832922164</v>
      </c>
      <c r="Y86" s="176" cm="1">
        <f t="array" ref="Y86">AWE*Res1I[[#This Row],[Damage Index]]*Actual_to_Potential</f>
        <v>0.92656471952620956</v>
      </c>
      <c r="Z86" s="177" cm="1">
        <f t="array" ref="Z86">AWE*Res1I[[#This Row],[Adjusted Damage Index]]*Inputs!$C$38*Inputs!C$30+IF(Res1I[[#This Row],[Level (m)]]&gt;0,Cleanup,0)+VLOOKUP(Res1I[[#This Row],[Level (m)]],Relocation[],3,FALSE)</f>
        <v>58572.304914858149</v>
      </c>
      <c r="AA86" s="177" cm="1">
        <f t="array" ref="AA86">AWE*Res1I[[#This Row],[Adjusted Damage Index]]*Inputs!$C$38*Inputs!D$30+IF(Res1I[[#This Row],[Level (m)]]&gt;0,Cleanup,0)+VLOOKUP(Res1I[[#This Row],[Level (m)]],Relocation[],3,FALSE)</f>
        <v>100744.6098297163</v>
      </c>
      <c r="AB86" s="177" cm="1">
        <f t="array" ref="AB86">AWE*Res1I[[#This Row],[Adjusted Damage Index]]*Inputs!$C$38*Inputs!E$30+IF(Res1I[[#This Row],[Level (m)]]&gt;0,Cleanup,0)+VLOOKUP(Res1I[[#This Row],[Level (m)]],Relocation[],3,FALSE)</f>
        <v>128859.47977295506</v>
      </c>
      <c r="AC86" s="177" cm="1">
        <f t="array" ref="AC86">AWE*Res1I[[#This Row],[Adjusted Damage Index]]*Inputs!$C$38*Inputs!F$30+IF(Res1I[[#This Row],[Level (m)]]&gt;0,Cleanup,0)+VLOOKUP(Res1I[[#This Row],[Level (m)]],Relocation[],3,FALSE)</f>
        <v>119487.85645854214</v>
      </c>
      <c r="AG86" s="50">
        <v>2.4500000000000002</v>
      </c>
      <c r="AH86" s="176">
        <v>0.44126984126984131</v>
      </c>
      <c r="AI86" s="176" cm="1">
        <f t="array" ref="AI86">AWE*Res2I[[#This Row],[Damage Index]]*Actual_to_Potential</f>
        <v>0.40988284749500381</v>
      </c>
      <c r="AJ86" s="177" cm="1">
        <f t="array" ref="AJ86">AWE*Res2I[[#This Row],[Adjusted Damage Index]]*Inputs!$C$38*Inputs!C$31+IF(Res2I[[#This Row],[Level (m)]]&gt;0,Cleanup,0)+VLOOKUP(Res2I[[#This Row],[Level (m)]],Relocation[],3,FALSE)</f>
        <v>35055.690271445361</v>
      </c>
      <c r="AK86" s="177" cm="1">
        <f t="array" ref="AK86">AWE*Res2I[[#This Row],[Adjusted Damage Index]]*Inputs!$C$38*Inputs!D$31+IF(Res2I[[#This Row],[Level (m)]]&gt;0,Cleanup,0)+VLOOKUP(Res2I[[#This Row],[Level (m)]],Relocation[],3,FALSE)</f>
        <v>53711.380542890714</v>
      </c>
      <c r="AL86" s="177" cm="1">
        <f t="array" ref="AL86">AWE*Res2I[[#This Row],[Adjusted Damage Index]]*Inputs!$C$38*Inputs!E$31+IF(Res2I[[#This Row],[Level (m)]]&gt;0,Cleanup,0)+VLOOKUP(Res2I[[#This Row],[Level (m)]],Relocation[],3,FALSE)</f>
        <v>66148.507390520957</v>
      </c>
      <c r="AM86" s="177" cm="1">
        <f t="array" ref="AM86">AWE*Res2I[[#This Row],[Adjusted Damage Index]]*Inputs!$C$38*Inputs!F$31+IF(Res2I[[#This Row],[Level (m)]]&gt;0,Cleanup,0)+VLOOKUP(Res2I[[#This Row],[Level (m)]],Relocation[],3,FALSE)</f>
        <v>62002.798441310872</v>
      </c>
    </row>
    <row r="87" spans="3:39" x14ac:dyDescent="0.3">
      <c r="C87" s="50">
        <v>2.5</v>
      </c>
      <c r="D87" s="176">
        <v>0.37812500000000004</v>
      </c>
      <c r="E87" s="176"/>
      <c r="F87" s="177" cm="1">
        <f t="array" ref="F87">AWE*Res1S[[#This Row],[Damage Index]]*Inputs!C$30*Inputs!C$25</f>
        <v>70245.884587554276</v>
      </c>
      <c r="G87" s="177" cm="1">
        <f t="array" ref="G87">AWE*Res1S[[#This Row],[Damage Index]]*Inputs!D$30*Inputs!D$25</f>
        <v>140491.76917510855</v>
      </c>
      <c r="H87" s="177" cm="1">
        <f t="array" ref="H87">AWE*Res1S[[#This Row],[Damage Index]]*Inputs!E$30*Inputs!E$25</f>
        <v>187322.35890014473</v>
      </c>
      <c r="I87" s="177" cm="1">
        <f t="array" ref="I87">AWE*Res1S[[#This Row],[Damage Index]]*Inputs!F$30*Inputs!F$25</f>
        <v>171712.16232513267</v>
      </c>
      <c r="M87" s="50">
        <v>2.5</v>
      </c>
      <c r="N87" s="176">
        <v>0.20796875000000004</v>
      </c>
      <c r="O87" s="176"/>
      <c r="P87" s="177" cm="1">
        <f t="array" ref="P87">AWE*Res2S[[#This Row],[Damage Index]]*Inputs!C$30*Inputs!C$25</f>
        <v>38635.236523154854</v>
      </c>
      <c r="Q87" s="177" cm="1">
        <f t="array" ref="Q87">AWE*Res2S[[#This Row],[Damage Index]]*Inputs!D$30*Inputs!D$25</f>
        <v>77270.473046309708</v>
      </c>
      <c r="R87" s="177" cm="1">
        <f t="array" ref="R87">AWE*Res2S[[#This Row],[Damage Index]]*Inputs!E$30*Inputs!E$25</f>
        <v>103027.29739507961</v>
      </c>
      <c r="S87" s="177" cm="1">
        <f t="array" ref="S87">AWE*Res2S[[#This Row],[Damage Index]]*Inputs!F$30*Inputs!F$25</f>
        <v>94441.689278822974</v>
      </c>
      <c r="W87" s="50">
        <v>2.5</v>
      </c>
      <c r="X87" s="176">
        <v>1</v>
      </c>
      <c r="Y87" s="176" cm="1">
        <f t="array" ref="Y87">AWE*Res1I[[#This Row],[Damage Index]]*Actual_to_Potential</f>
        <v>0.92887120115774235</v>
      </c>
      <c r="Z87" s="177" cm="1">
        <f t="array" ref="Z87">AWE*Res1I[[#This Row],[Adjusted Damage Index]]*Inputs!$C$38*Inputs!C$30+IF(Res1I[[#This Row],[Level (m)]]&gt;0,Cleanup,0)+VLOOKUP(Res1I[[#This Row],[Level (m)]],Relocation[],3,FALSE)</f>
        <v>58677.283708671122</v>
      </c>
      <c r="AA87" s="177" cm="1">
        <f t="array" ref="AA87">AWE*Res1I[[#This Row],[Adjusted Damage Index]]*Inputs!$C$38*Inputs!D$30+IF(Res1I[[#This Row],[Level (m)]]&gt;0,Cleanup,0)+VLOOKUP(Res1I[[#This Row],[Level (m)]],Relocation[],3,FALSE)</f>
        <v>100954.56741734224</v>
      </c>
      <c r="AB87" s="177" cm="1">
        <f t="array" ref="AB87">AWE*Res1I[[#This Row],[Adjusted Damage Index]]*Inputs!$C$38*Inputs!E$30+IF(Res1I[[#This Row],[Level (m)]]&gt;0,Cleanup,0)+VLOOKUP(Res1I[[#This Row],[Level (m)]],Relocation[],3,FALSE)</f>
        <v>129139.423223123</v>
      </c>
      <c r="AC87" s="177" cm="1">
        <f t="array" ref="AC87">AWE*Res1I[[#This Row],[Adjusted Damage Index]]*Inputs!$C$38*Inputs!F$30+IF(Res1I[[#This Row],[Level (m)]]&gt;0,Cleanup,0)+VLOOKUP(Res1I[[#This Row],[Level (m)]],Relocation[],3,FALSE)</f>
        <v>119744.47128786275</v>
      </c>
      <c r="AG87" s="50">
        <v>2.5</v>
      </c>
      <c r="AH87" s="176">
        <v>0.44444444444444448</v>
      </c>
      <c r="AI87" s="176" cm="1">
        <f t="array" ref="AI87">AWE*Res2I[[#This Row],[Damage Index]]*Actual_to_Potential</f>
        <v>0.4128316449589966</v>
      </c>
      <c r="AJ87" s="177" cm="1">
        <f t="array" ref="AJ87">AWE*Res2I[[#This Row],[Adjusted Damage Index]]*Inputs!$C$38*Inputs!C$31+IF(Res2I[[#This Row],[Level (m)]]&gt;0,Cleanup,0)+VLOOKUP(Res2I[[#This Row],[Level (m)]],Relocation[],3,FALSE)</f>
        <v>35189.903870520502</v>
      </c>
      <c r="AK87" s="177" cm="1">
        <f t="array" ref="AK87">AWE*Res2I[[#This Row],[Adjusted Damage Index]]*Inputs!$C$38*Inputs!D$31+IF(Res2I[[#This Row],[Level (m)]]&gt;0,Cleanup,0)+VLOOKUP(Res2I[[#This Row],[Level (m)]],Relocation[],3,FALSE)</f>
        <v>53979.807741041004</v>
      </c>
      <c r="AL87" s="177" cm="1">
        <f t="array" ref="AL87">AWE*Res2I[[#This Row],[Adjusted Damage Index]]*Inputs!$C$38*Inputs!E$31+IF(Res2I[[#This Row],[Level (m)]]&gt;0,Cleanup,0)+VLOOKUP(Res2I[[#This Row],[Level (m)]],Relocation[],3,FALSE)</f>
        <v>66506.410321388001</v>
      </c>
      <c r="AM87" s="177" cm="1">
        <f t="array" ref="AM87">AWE*Res2I[[#This Row],[Adjusted Damage Index]]*Inputs!$C$38*Inputs!F$31+IF(Res2I[[#This Row],[Level (m)]]&gt;0,Cleanup,0)+VLOOKUP(Res2I[[#This Row],[Level (m)]],Relocation[],3,FALSE)</f>
        <v>62330.876127939002</v>
      </c>
    </row>
    <row r="88" spans="3:39" x14ac:dyDescent="0.3">
      <c r="C88" s="50">
        <v>2.5499999999999998</v>
      </c>
      <c r="D88" s="176">
        <v>0.38257083333333336</v>
      </c>
      <c r="E88" s="176"/>
      <c r="F88" s="177" cm="1">
        <f t="array" ref="F88">AWE*Res1S[[#This Row],[Damage Index]]*Inputs!C$30*Inputs!C$25</f>
        <v>71071.805897250364</v>
      </c>
      <c r="G88" s="177" cm="1">
        <f t="array" ref="G88">AWE*Res1S[[#This Row],[Damage Index]]*Inputs!D$30*Inputs!D$25</f>
        <v>142143.61179450073</v>
      </c>
      <c r="H88" s="177" cm="1">
        <f t="array" ref="H88">AWE*Res1S[[#This Row],[Damage Index]]*Inputs!E$30*Inputs!E$25</f>
        <v>189524.81572600099</v>
      </c>
      <c r="I88" s="177" cm="1">
        <f t="array" ref="I88">AWE*Res1S[[#This Row],[Damage Index]]*Inputs!F$30*Inputs!F$25</f>
        <v>173731.08108216754</v>
      </c>
      <c r="M88" s="50">
        <v>2.5499999999999998</v>
      </c>
      <c r="N88" s="176">
        <v>0.21041395833333337</v>
      </c>
      <c r="O88" s="176"/>
      <c r="P88" s="177" cm="1">
        <f t="array" ref="P88">AWE*Res2S[[#This Row],[Damage Index]]*Inputs!C$30*Inputs!C$25</f>
        <v>39089.493243487705</v>
      </c>
      <c r="Q88" s="177" cm="1">
        <f t="array" ref="Q88">AWE*Res2S[[#This Row],[Damage Index]]*Inputs!D$30*Inputs!D$25</f>
        <v>78178.986486975409</v>
      </c>
      <c r="R88" s="177" cm="1">
        <f t="array" ref="R88">AWE*Res2S[[#This Row],[Damage Index]]*Inputs!E$30*Inputs!E$25</f>
        <v>104238.64864930055</v>
      </c>
      <c r="S88" s="177" cm="1">
        <f t="array" ref="S88">AWE*Res2S[[#This Row],[Damage Index]]*Inputs!F$30*Inputs!F$25</f>
        <v>95552.09459519216</v>
      </c>
      <c r="W88" s="50">
        <v>2.5499999999999998</v>
      </c>
      <c r="X88" s="176">
        <v>1</v>
      </c>
      <c r="Y88" s="176" cm="1">
        <f t="array" ref="Y88">AWE*Res1I[[#This Row],[Damage Index]]*Actual_to_Potential</f>
        <v>0.92887120115774235</v>
      </c>
      <c r="Z88" s="177" cm="1">
        <f t="array" ref="Z88">AWE*Res1I[[#This Row],[Adjusted Damage Index]]*Inputs!$C$38*Inputs!C$30+IF(Res1I[[#This Row],[Level (m)]]&gt;0,Cleanup,0)+VLOOKUP(Res1I[[#This Row],[Level (m)]],Relocation[],3,FALSE)</f>
        <v>58677.283708671122</v>
      </c>
      <c r="AA88" s="177" cm="1">
        <f t="array" ref="AA88">AWE*Res1I[[#This Row],[Adjusted Damage Index]]*Inputs!$C$38*Inputs!D$30+IF(Res1I[[#This Row],[Level (m)]]&gt;0,Cleanup,0)+VLOOKUP(Res1I[[#This Row],[Level (m)]],Relocation[],3,FALSE)</f>
        <v>100954.56741734224</v>
      </c>
      <c r="AB88" s="177" cm="1">
        <f t="array" ref="AB88">AWE*Res1I[[#This Row],[Adjusted Damage Index]]*Inputs!$C$38*Inputs!E$30+IF(Res1I[[#This Row],[Level (m)]]&gt;0,Cleanup,0)+VLOOKUP(Res1I[[#This Row],[Level (m)]],Relocation[],3,FALSE)</f>
        <v>129139.423223123</v>
      </c>
      <c r="AC88" s="177" cm="1">
        <f t="array" ref="AC88">AWE*Res1I[[#This Row],[Adjusted Damage Index]]*Inputs!$C$38*Inputs!F$30+IF(Res1I[[#This Row],[Level (m)]]&gt;0,Cleanup,0)+VLOOKUP(Res1I[[#This Row],[Level (m)]],Relocation[],3,FALSE)</f>
        <v>119744.47128786275</v>
      </c>
      <c r="AG88" s="50">
        <v>2.5499999999999998</v>
      </c>
      <c r="AH88" s="176">
        <v>0.45396825396825397</v>
      </c>
      <c r="AI88" s="176" cm="1">
        <f t="array" ref="AI88">AWE*Res2I[[#This Row],[Damage Index]]*Actual_to_Potential</f>
        <v>0.42167803735097514</v>
      </c>
      <c r="AJ88" s="177" cm="1">
        <f t="array" ref="AJ88">AWE*Res2I[[#This Row],[Adjusted Damage Index]]*Inputs!$C$38*Inputs!C$31+IF(Res2I[[#This Row],[Level (m)]]&gt;0,Cleanup,0)+VLOOKUP(Res2I[[#This Row],[Level (m)]],Relocation[],3,FALSE)</f>
        <v>35592.54466774594</v>
      </c>
      <c r="AK88" s="177" cm="1">
        <f t="array" ref="AK88">AWE*Res2I[[#This Row],[Adjusted Damage Index]]*Inputs!$C$38*Inputs!D$31+IF(Res2I[[#This Row],[Level (m)]]&gt;0,Cleanup,0)+VLOOKUP(Res2I[[#This Row],[Level (m)]],Relocation[],3,FALSE)</f>
        <v>54785.089335491881</v>
      </c>
      <c r="AL88" s="177" cm="1">
        <f t="array" ref="AL88">AWE*Res2I[[#This Row],[Adjusted Damage Index]]*Inputs!$C$38*Inputs!E$31+IF(Res2I[[#This Row],[Level (m)]]&gt;0,Cleanup,0)+VLOOKUP(Res2I[[#This Row],[Level (m)]],Relocation[],3,FALSE)</f>
        <v>67580.119113989174</v>
      </c>
      <c r="AM88" s="177" cm="1">
        <f t="array" ref="AM88">AWE*Res2I[[#This Row],[Adjusted Damage Index]]*Inputs!$C$38*Inputs!F$31+IF(Res2I[[#This Row],[Level (m)]]&gt;0,Cleanup,0)+VLOOKUP(Res2I[[#This Row],[Level (m)]],Relocation[],3,FALSE)</f>
        <v>63315.109187823415</v>
      </c>
    </row>
    <row r="89" spans="3:39" x14ac:dyDescent="0.3">
      <c r="C89" s="50">
        <v>2.6</v>
      </c>
      <c r="D89" s="176">
        <v>0.38701666666666673</v>
      </c>
      <c r="E89" s="176"/>
      <c r="F89" s="177" cm="1">
        <f t="array" ref="F89">AWE*Res1S[[#This Row],[Damage Index]]*Inputs!C$30*Inputs!C$25</f>
        <v>71897.727206946452</v>
      </c>
      <c r="G89" s="177" cm="1">
        <f t="array" ref="G89">AWE*Res1S[[#This Row],[Damage Index]]*Inputs!D$30*Inputs!D$25</f>
        <v>143795.4544138929</v>
      </c>
      <c r="H89" s="177" cm="1">
        <f t="array" ref="H89">AWE*Res1S[[#This Row],[Damage Index]]*Inputs!E$30*Inputs!E$25</f>
        <v>191727.27255185723</v>
      </c>
      <c r="I89" s="177" cm="1">
        <f t="array" ref="I89">AWE*Res1S[[#This Row],[Damage Index]]*Inputs!F$30*Inputs!F$25</f>
        <v>175749.99983920244</v>
      </c>
      <c r="M89" s="50">
        <v>2.6</v>
      </c>
      <c r="N89" s="176">
        <v>0.21285916666666671</v>
      </c>
      <c r="O89" s="176"/>
      <c r="P89" s="177" cm="1">
        <f t="array" ref="P89">AWE*Res2S[[#This Row],[Damage Index]]*Inputs!C$30*Inputs!C$25</f>
        <v>39543.749963820563</v>
      </c>
      <c r="Q89" s="177" cm="1">
        <f t="array" ref="Q89">AWE*Res2S[[#This Row],[Damage Index]]*Inputs!D$30*Inputs!D$25</f>
        <v>79087.499927641125</v>
      </c>
      <c r="R89" s="177" cm="1">
        <f t="array" ref="R89">AWE*Res2S[[#This Row],[Damage Index]]*Inputs!E$30*Inputs!E$25</f>
        <v>105449.99990352149</v>
      </c>
      <c r="S89" s="177" cm="1">
        <f t="array" ref="S89">AWE*Res2S[[#This Row],[Damage Index]]*Inputs!F$30*Inputs!F$25</f>
        <v>96662.499911561361</v>
      </c>
      <c r="W89" s="50">
        <v>2.6</v>
      </c>
      <c r="X89" s="176">
        <v>1</v>
      </c>
      <c r="Y89" s="176" cm="1">
        <f t="array" ref="Y89">AWE*Res1I[[#This Row],[Damage Index]]*Actual_to_Potential</f>
        <v>0.92887120115774235</v>
      </c>
      <c r="Z89" s="177" cm="1">
        <f t="array" ref="Z89">AWE*Res1I[[#This Row],[Adjusted Damage Index]]*Inputs!$C$38*Inputs!C$30+IF(Res1I[[#This Row],[Level (m)]]&gt;0,Cleanup,0)+VLOOKUP(Res1I[[#This Row],[Level (m)]],Relocation[],3,FALSE)</f>
        <v>58677.283708671122</v>
      </c>
      <c r="AA89" s="177" cm="1">
        <f t="array" ref="AA89">AWE*Res1I[[#This Row],[Adjusted Damage Index]]*Inputs!$C$38*Inputs!D$30+IF(Res1I[[#This Row],[Level (m)]]&gt;0,Cleanup,0)+VLOOKUP(Res1I[[#This Row],[Level (m)]],Relocation[],3,FALSE)</f>
        <v>100954.56741734224</v>
      </c>
      <c r="AB89" s="177" cm="1">
        <f t="array" ref="AB89">AWE*Res1I[[#This Row],[Adjusted Damage Index]]*Inputs!$C$38*Inputs!E$30+IF(Res1I[[#This Row],[Level (m)]]&gt;0,Cleanup,0)+VLOOKUP(Res1I[[#This Row],[Level (m)]],Relocation[],3,FALSE)</f>
        <v>129139.423223123</v>
      </c>
      <c r="AC89" s="177" cm="1">
        <f t="array" ref="AC89">AWE*Res1I[[#This Row],[Adjusted Damage Index]]*Inputs!$C$38*Inputs!F$30+IF(Res1I[[#This Row],[Level (m)]]&gt;0,Cleanup,0)+VLOOKUP(Res1I[[#This Row],[Level (m)]],Relocation[],3,FALSE)</f>
        <v>119744.47128786275</v>
      </c>
      <c r="AG89" s="50">
        <v>2.6</v>
      </c>
      <c r="AH89" s="176">
        <v>0.46349206349206351</v>
      </c>
      <c r="AI89" s="176" cm="1">
        <f t="array" ref="AI89">AWE*Res2I[[#This Row],[Damage Index]]*Actual_to_Potential</f>
        <v>0.43052442974295363</v>
      </c>
      <c r="AJ89" s="177" cm="1">
        <f t="array" ref="AJ89">AWE*Res2I[[#This Row],[Adjusted Damage Index]]*Inputs!$C$38*Inputs!C$31+IF(Res2I[[#This Row],[Level (m)]]&gt;0,Cleanup,0)+VLOOKUP(Res2I[[#This Row],[Level (m)]],Relocation[],3,FALSE)</f>
        <v>35995.185464971379</v>
      </c>
      <c r="AK89" s="177" cm="1">
        <f t="array" ref="AK89">AWE*Res2I[[#This Row],[Adjusted Damage Index]]*Inputs!$C$38*Inputs!D$31+IF(Res2I[[#This Row],[Level (m)]]&gt;0,Cleanup,0)+VLOOKUP(Res2I[[#This Row],[Level (m)]],Relocation[],3,FALSE)</f>
        <v>55590.370929942757</v>
      </c>
      <c r="AL89" s="177" cm="1">
        <f t="array" ref="AL89">AWE*Res2I[[#This Row],[Adjusted Damage Index]]*Inputs!$C$38*Inputs!E$31+IF(Res2I[[#This Row],[Level (m)]]&gt;0,Cleanup,0)+VLOOKUP(Res2I[[#This Row],[Level (m)]],Relocation[],3,FALSE)</f>
        <v>68653.827906590333</v>
      </c>
      <c r="AM89" s="177" cm="1">
        <f t="array" ref="AM89">AWE*Res2I[[#This Row],[Adjusted Damage Index]]*Inputs!$C$38*Inputs!F$31+IF(Res2I[[#This Row],[Level (m)]]&gt;0,Cleanup,0)+VLOOKUP(Res2I[[#This Row],[Level (m)]],Relocation[],3,FALSE)</f>
        <v>64299.342247707813</v>
      </c>
    </row>
    <row r="90" spans="3:39" x14ac:dyDescent="0.3">
      <c r="C90" s="50">
        <v>2.65</v>
      </c>
      <c r="D90" s="176">
        <v>0.39146250000000005</v>
      </c>
      <c r="E90" s="176"/>
      <c r="F90" s="177" cm="1">
        <f t="array" ref="F90">AWE*Res1S[[#This Row],[Damage Index]]*Inputs!C$30*Inputs!C$25</f>
        <v>72723.648516642555</v>
      </c>
      <c r="G90" s="177" cm="1">
        <f t="array" ref="G90">AWE*Res1S[[#This Row],[Damage Index]]*Inputs!D$30*Inputs!D$25</f>
        <v>145447.29703328511</v>
      </c>
      <c r="H90" s="177" cm="1">
        <f t="array" ref="H90">AWE*Res1S[[#This Row],[Damage Index]]*Inputs!E$30*Inputs!E$25</f>
        <v>193929.72937771346</v>
      </c>
      <c r="I90" s="177" cm="1">
        <f t="array" ref="I90">AWE*Res1S[[#This Row],[Damage Index]]*Inputs!F$30*Inputs!F$25</f>
        <v>177768.91859623734</v>
      </c>
      <c r="M90" s="50">
        <v>2.65</v>
      </c>
      <c r="N90" s="176">
        <v>0.21530437500000005</v>
      </c>
      <c r="O90" s="176"/>
      <c r="P90" s="177" cm="1">
        <f t="array" ref="P90">AWE*Res2S[[#This Row],[Damage Index]]*Inputs!C$30*Inputs!C$25</f>
        <v>39998.006684153399</v>
      </c>
      <c r="Q90" s="177" cm="1">
        <f t="array" ref="Q90">AWE*Res2S[[#This Row],[Damage Index]]*Inputs!D$30*Inputs!D$25</f>
        <v>79996.013368306798</v>
      </c>
      <c r="R90" s="177" cm="1">
        <f t="array" ref="R90">AWE*Res2S[[#This Row],[Damage Index]]*Inputs!E$30*Inputs!E$25</f>
        <v>106661.35115774242</v>
      </c>
      <c r="S90" s="177" cm="1">
        <f t="array" ref="S90">AWE*Res2S[[#This Row],[Damage Index]]*Inputs!F$30*Inputs!F$25</f>
        <v>97772.905227930547</v>
      </c>
      <c r="W90" s="50">
        <v>2.65</v>
      </c>
      <c r="X90" s="176">
        <v>1</v>
      </c>
      <c r="Y90" s="176" cm="1">
        <f t="array" ref="Y90">AWE*Res1I[[#This Row],[Damage Index]]*Actual_to_Potential</f>
        <v>0.92887120115774235</v>
      </c>
      <c r="Z90" s="177" cm="1">
        <f t="array" ref="Z90">AWE*Res1I[[#This Row],[Adjusted Damage Index]]*Inputs!$C$38*Inputs!C$30+IF(Res1I[[#This Row],[Level (m)]]&gt;0,Cleanup,0)+VLOOKUP(Res1I[[#This Row],[Level (m)]],Relocation[],3,FALSE)</f>
        <v>58677.283708671122</v>
      </c>
      <c r="AA90" s="177" cm="1">
        <f t="array" ref="AA90">AWE*Res1I[[#This Row],[Adjusted Damage Index]]*Inputs!$C$38*Inputs!D$30+IF(Res1I[[#This Row],[Level (m)]]&gt;0,Cleanup,0)+VLOOKUP(Res1I[[#This Row],[Level (m)]],Relocation[],3,FALSE)</f>
        <v>100954.56741734224</v>
      </c>
      <c r="AB90" s="177" cm="1">
        <f t="array" ref="AB90">AWE*Res1I[[#This Row],[Adjusted Damage Index]]*Inputs!$C$38*Inputs!E$30+IF(Res1I[[#This Row],[Level (m)]]&gt;0,Cleanup,0)+VLOOKUP(Res1I[[#This Row],[Level (m)]],Relocation[],3,FALSE)</f>
        <v>129139.423223123</v>
      </c>
      <c r="AC90" s="177" cm="1">
        <f t="array" ref="AC90">AWE*Res1I[[#This Row],[Adjusted Damage Index]]*Inputs!$C$38*Inputs!F$30+IF(Res1I[[#This Row],[Level (m)]]&gt;0,Cleanup,0)+VLOOKUP(Res1I[[#This Row],[Level (m)]],Relocation[],3,FALSE)</f>
        <v>119744.47128786275</v>
      </c>
      <c r="AG90" s="50">
        <v>2.65</v>
      </c>
      <c r="AH90" s="176">
        <v>0.473015873015873</v>
      </c>
      <c r="AI90" s="176" cm="1">
        <f t="array" ref="AI90">AWE*Res2I[[#This Row],[Damage Index]]*Actual_to_Potential</f>
        <v>0.43937082213493212</v>
      </c>
      <c r="AJ90" s="177" cm="1">
        <f t="array" ref="AJ90">AWE*Res2I[[#This Row],[Adjusted Damage Index]]*Inputs!$C$38*Inputs!C$31+IF(Res2I[[#This Row],[Level (m)]]&gt;0,Cleanup,0)+VLOOKUP(Res2I[[#This Row],[Level (m)]],Relocation[],3,FALSE)</f>
        <v>36397.826262196817</v>
      </c>
      <c r="AK90" s="177" cm="1">
        <f t="array" ref="AK90">AWE*Res2I[[#This Row],[Adjusted Damage Index]]*Inputs!$C$38*Inputs!D$31+IF(Res2I[[#This Row],[Level (m)]]&gt;0,Cleanup,0)+VLOOKUP(Res2I[[#This Row],[Level (m)]],Relocation[],3,FALSE)</f>
        <v>56395.652524393634</v>
      </c>
      <c r="AL90" s="177" cm="1">
        <f t="array" ref="AL90">AWE*Res2I[[#This Row],[Adjusted Damage Index]]*Inputs!$C$38*Inputs!E$31+IF(Res2I[[#This Row],[Level (m)]]&gt;0,Cleanup,0)+VLOOKUP(Res2I[[#This Row],[Level (m)]],Relocation[],3,FALSE)</f>
        <v>69727.536699191522</v>
      </c>
      <c r="AM90" s="177" cm="1">
        <f t="array" ref="AM90">AWE*Res2I[[#This Row],[Adjusted Damage Index]]*Inputs!$C$38*Inputs!F$31+IF(Res2I[[#This Row],[Level (m)]]&gt;0,Cleanup,0)+VLOOKUP(Res2I[[#This Row],[Level (m)]],Relocation[],3,FALSE)</f>
        <v>65283.575307592226</v>
      </c>
    </row>
    <row r="91" spans="3:39" x14ac:dyDescent="0.3">
      <c r="C91" s="50">
        <v>2.7</v>
      </c>
      <c r="D91" s="176">
        <v>0.39590833333333342</v>
      </c>
      <c r="E91" s="176"/>
      <c r="F91" s="177" cm="1">
        <f t="array" ref="F91">AWE*Res1S[[#This Row],[Damage Index]]*Inputs!C$30*Inputs!C$25</f>
        <v>73549.569826338658</v>
      </c>
      <c r="G91" s="177" cm="1">
        <f t="array" ref="G91">AWE*Res1S[[#This Row],[Damage Index]]*Inputs!D$30*Inputs!D$25</f>
        <v>147099.13965267732</v>
      </c>
      <c r="H91" s="177" cm="1">
        <f t="array" ref="H91">AWE*Res1S[[#This Row],[Damage Index]]*Inputs!E$30*Inputs!E$25</f>
        <v>196132.18620356976</v>
      </c>
      <c r="I91" s="177" cm="1">
        <f t="array" ref="I91">AWE*Res1S[[#This Row],[Damage Index]]*Inputs!F$30*Inputs!F$25</f>
        <v>179787.83735327228</v>
      </c>
      <c r="M91" s="50">
        <v>2.7</v>
      </c>
      <c r="N91" s="176">
        <v>0.21774958333333339</v>
      </c>
      <c r="O91" s="176"/>
      <c r="P91" s="177" cm="1">
        <f t="array" ref="P91">AWE*Res2S[[#This Row],[Damage Index]]*Inputs!C$30*Inputs!C$25</f>
        <v>40452.263404486257</v>
      </c>
      <c r="Q91" s="177" cm="1">
        <f t="array" ref="Q91">AWE*Res2S[[#This Row],[Damage Index]]*Inputs!D$30*Inputs!D$25</f>
        <v>80904.526808972514</v>
      </c>
      <c r="R91" s="177" cm="1">
        <f t="array" ref="R91">AWE*Res2S[[#This Row],[Damage Index]]*Inputs!E$30*Inputs!E$25</f>
        <v>107872.70241196336</v>
      </c>
      <c r="S91" s="177" cm="1">
        <f t="array" ref="S91">AWE*Res2S[[#This Row],[Damage Index]]*Inputs!F$30*Inputs!F$25</f>
        <v>98883.310544299748</v>
      </c>
      <c r="W91" s="50">
        <v>2.7</v>
      </c>
      <c r="X91" s="176">
        <v>1</v>
      </c>
      <c r="Y91" s="176" cm="1">
        <f t="array" ref="Y91">AWE*Res1I[[#This Row],[Damage Index]]*Actual_to_Potential</f>
        <v>0.92887120115774235</v>
      </c>
      <c r="Z91" s="177" cm="1">
        <f t="array" ref="Z91">AWE*Res1I[[#This Row],[Adjusted Damage Index]]*Inputs!$C$38*Inputs!C$30+IF(Res1I[[#This Row],[Level (m)]]&gt;0,Cleanup,0)+VLOOKUP(Res1I[[#This Row],[Level (m)]],Relocation[],3,FALSE)</f>
        <v>58677.283708671122</v>
      </c>
      <c r="AA91" s="177" cm="1">
        <f t="array" ref="AA91">AWE*Res1I[[#This Row],[Adjusted Damage Index]]*Inputs!$C$38*Inputs!D$30+IF(Res1I[[#This Row],[Level (m)]]&gt;0,Cleanup,0)+VLOOKUP(Res1I[[#This Row],[Level (m)]],Relocation[],3,FALSE)</f>
        <v>100954.56741734224</v>
      </c>
      <c r="AB91" s="177" cm="1">
        <f t="array" ref="AB91">AWE*Res1I[[#This Row],[Adjusted Damage Index]]*Inputs!$C$38*Inputs!E$30+IF(Res1I[[#This Row],[Level (m)]]&gt;0,Cleanup,0)+VLOOKUP(Res1I[[#This Row],[Level (m)]],Relocation[],3,FALSE)</f>
        <v>129139.423223123</v>
      </c>
      <c r="AC91" s="177" cm="1">
        <f t="array" ref="AC91">AWE*Res1I[[#This Row],[Adjusted Damage Index]]*Inputs!$C$38*Inputs!F$30+IF(Res1I[[#This Row],[Level (m)]]&gt;0,Cleanup,0)+VLOOKUP(Res1I[[#This Row],[Level (m)]],Relocation[],3,FALSE)</f>
        <v>119744.47128786275</v>
      </c>
      <c r="AG91" s="50">
        <v>2.7</v>
      </c>
      <c r="AH91" s="176">
        <v>0.4825396825396826</v>
      </c>
      <c r="AI91" s="176" cm="1">
        <f t="array" ref="AI91">AWE*Res2I[[#This Row],[Damage Index]]*Actual_to_Potential</f>
        <v>0.44821721452691066</v>
      </c>
      <c r="AJ91" s="177" cm="1">
        <f t="array" ref="AJ91">AWE*Res2I[[#This Row],[Adjusted Damage Index]]*Inputs!$C$38*Inputs!C$31+IF(Res2I[[#This Row],[Level (m)]]&gt;0,Cleanup,0)+VLOOKUP(Res2I[[#This Row],[Level (m)]],Relocation[],3,FALSE)</f>
        <v>36800.467059422263</v>
      </c>
      <c r="AK91" s="177" cm="1">
        <f t="array" ref="AK91">AWE*Res2I[[#This Row],[Adjusted Damage Index]]*Inputs!$C$38*Inputs!D$31+IF(Res2I[[#This Row],[Level (m)]]&gt;0,Cleanup,0)+VLOOKUP(Res2I[[#This Row],[Level (m)]],Relocation[],3,FALSE)</f>
        <v>57200.934118844525</v>
      </c>
      <c r="AL91" s="177" cm="1">
        <f t="array" ref="AL91">AWE*Res2I[[#This Row],[Adjusted Damage Index]]*Inputs!$C$38*Inputs!E$31+IF(Res2I[[#This Row],[Level (m)]]&gt;0,Cleanup,0)+VLOOKUP(Res2I[[#This Row],[Level (m)]],Relocation[],3,FALSE)</f>
        <v>70801.245491792695</v>
      </c>
      <c r="AM91" s="177" cm="1">
        <f t="array" ref="AM91">AWE*Res2I[[#This Row],[Adjusted Damage Index]]*Inputs!$C$38*Inputs!F$31+IF(Res2I[[#This Row],[Level (m)]]&gt;0,Cleanup,0)+VLOOKUP(Res2I[[#This Row],[Level (m)]],Relocation[],3,FALSE)</f>
        <v>66267.808367476639</v>
      </c>
    </row>
    <row r="92" spans="3:39" x14ac:dyDescent="0.3">
      <c r="C92" s="50">
        <v>2.75</v>
      </c>
      <c r="D92" s="176">
        <v>0.40035416666666673</v>
      </c>
      <c r="E92" s="176"/>
      <c r="F92" s="177" cm="1">
        <f t="array" ref="F92">AWE*Res1S[[#This Row],[Damage Index]]*Inputs!C$30*Inputs!C$25</f>
        <v>74375.491136034732</v>
      </c>
      <c r="G92" s="177" cm="1">
        <f t="array" ref="G92">AWE*Res1S[[#This Row],[Damage Index]]*Inputs!D$30*Inputs!D$25</f>
        <v>148750.98227206946</v>
      </c>
      <c r="H92" s="177" cm="1">
        <f t="array" ref="H92">AWE*Res1S[[#This Row],[Damage Index]]*Inputs!E$30*Inputs!E$25</f>
        <v>198334.64302942596</v>
      </c>
      <c r="I92" s="177" cm="1">
        <f t="array" ref="I92">AWE*Res1S[[#This Row],[Damage Index]]*Inputs!F$30*Inputs!F$25</f>
        <v>181806.75611030712</v>
      </c>
      <c r="M92" s="50">
        <v>2.75</v>
      </c>
      <c r="N92" s="176">
        <v>0.24484548611111107</v>
      </c>
      <c r="O92" s="176"/>
      <c r="P92" s="177" cm="1">
        <f t="array" ref="P92">AWE*Res2S[[#This Row],[Damage Index]]*Inputs!C$30*Inputs!C$25</f>
        <v>45485.984156415812</v>
      </c>
      <c r="Q92" s="177" cm="1">
        <f t="array" ref="Q92">AWE*Res2S[[#This Row],[Damage Index]]*Inputs!D$30*Inputs!D$25</f>
        <v>90971.968312831625</v>
      </c>
      <c r="R92" s="177" cm="1">
        <f t="array" ref="R92">AWE*Res2S[[#This Row],[Damage Index]]*Inputs!E$30*Inputs!E$25</f>
        <v>121295.95775044218</v>
      </c>
      <c r="S92" s="177" cm="1">
        <f t="array" ref="S92">AWE*Res2S[[#This Row],[Damage Index]]*Inputs!F$30*Inputs!F$25</f>
        <v>111187.96127123864</v>
      </c>
      <c r="W92" s="50">
        <v>2.75</v>
      </c>
      <c r="X92" s="176">
        <v>1</v>
      </c>
      <c r="Y92" s="176" cm="1">
        <f t="array" ref="Y92">AWE*Res1I[[#This Row],[Damage Index]]*Actual_to_Potential</f>
        <v>0.92887120115774235</v>
      </c>
      <c r="Z92" s="177" cm="1">
        <f t="array" ref="Z92">AWE*Res1I[[#This Row],[Adjusted Damage Index]]*Inputs!$C$38*Inputs!C$30+IF(Res1I[[#This Row],[Level (m)]]&gt;0,Cleanup,0)+VLOOKUP(Res1I[[#This Row],[Level (m)]],Relocation[],3,FALSE)</f>
        <v>58677.283708671122</v>
      </c>
      <c r="AA92" s="177" cm="1">
        <f t="array" ref="AA92">AWE*Res1I[[#This Row],[Adjusted Damage Index]]*Inputs!$C$38*Inputs!D$30+IF(Res1I[[#This Row],[Level (m)]]&gt;0,Cleanup,0)+VLOOKUP(Res1I[[#This Row],[Level (m)]],Relocation[],3,FALSE)</f>
        <v>100954.56741734224</v>
      </c>
      <c r="AB92" s="177" cm="1">
        <f t="array" ref="AB92">AWE*Res1I[[#This Row],[Adjusted Damage Index]]*Inputs!$C$38*Inputs!E$30+IF(Res1I[[#This Row],[Level (m)]]&gt;0,Cleanup,0)+VLOOKUP(Res1I[[#This Row],[Level (m)]],Relocation[],3,FALSE)</f>
        <v>129139.423223123</v>
      </c>
      <c r="AC92" s="177" cm="1">
        <f t="array" ref="AC92">AWE*Res1I[[#This Row],[Adjusted Damage Index]]*Inputs!$C$38*Inputs!F$30+IF(Res1I[[#This Row],[Level (m)]]&gt;0,Cleanup,0)+VLOOKUP(Res1I[[#This Row],[Level (m)]],Relocation[],3,FALSE)</f>
        <v>119744.47128786275</v>
      </c>
      <c r="AG92" s="50">
        <v>2.75</v>
      </c>
      <c r="AH92" s="176">
        <v>0.49206349206349209</v>
      </c>
      <c r="AI92" s="176" cm="1">
        <f t="array" ref="AI92">AWE*Res2I[[#This Row],[Damage Index]]*Actual_to_Potential</f>
        <v>0.45706360691888914</v>
      </c>
      <c r="AJ92" s="177" cm="1">
        <f t="array" ref="AJ92">AWE*Res2I[[#This Row],[Adjusted Damage Index]]*Inputs!$C$38*Inputs!C$31+IF(Res2I[[#This Row],[Level (m)]]&gt;0,Cleanup,0)+VLOOKUP(Res2I[[#This Row],[Level (m)]],Relocation[],3,FALSE)</f>
        <v>37203.107856647694</v>
      </c>
      <c r="AK92" s="177" cm="1">
        <f t="array" ref="AK92">AWE*Res2I[[#This Row],[Adjusted Damage Index]]*Inputs!$C$38*Inputs!D$31+IF(Res2I[[#This Row],[Level (m)]]&gt;0,Cleanup,0)+VLOOKUP(Res2I[[#This Row],[Level (m)]],Relocation[],3,FALSE)</f>
        <v>58006.215713295394</v>
      </c>
      <c r="AL92" s="177" cm="1">
        <f t="array" ref="AL92">AWE*Res2I[[#This Row],[Adjusted Damage Index]]*Inputs!$C$38*Inputs!E$31+IF(Res2I[[#This Row],[Level (m)]]&gt;0,Cleanup,0)+VLOOKUP(Res2I[[#This Row],[Level (m)]],Relocation[],3,FALSE)</f>
        <v>71874.954284393869</v>
      </c>
      <c r="AM92" s="177" cm="1">
        <f t="array" ref="AM92">AWE*Res2I[[#This Row],[Adjusted Damage Index]]*Inputs!$C$38*Inputs!F$31+IF(Res2I[[#This Row],[Level (m)]]&gt;0,Cleanup,0)+VLOOKUP(Res2I[[#This Row],[Level (m)]],Relocation[],3,FALSE)</f>
        <v>67252.041427361051</v>
      </c>
    </row>
    <row r="93" spans="3:39" x14ac:dyDescent="0.3">
      <c r="C93" s="50">
        <v>2.8</v>
      </c>
      <c r="D93" s="176">
        <v>0.40480000000000005</v>
      </c>
      <c r="E93" s="176"/>
      <c r="F93" s="177" cm="1">
        <f t="array" ref="F93">AWE*Res1S[[#This Row],[Damage Index]]*Inputs!C$30*Inputs!C$25</f>
        <v>75201.412445730821</v>
      </c>
      <c r="G93" s="177" cm="1">
        <f t="array" ref="G93">AWE*Res1S[[#This Row],[Damage Index]]*Inputs!D$30*Inputs!D$25</f>
        <v>150402.82489146164</v>
      </c>
      <c r="H93" s="177" cm="1">
        <f t="array" ref="H93">AWE*Res1S[[#This Row],[Damage Index]]*Inputs!E$30*Inputs!E$25</f>
        <v>200537.0998552822</v>
      </c>
      <c r="I93" s="177" cm="1">
        <f t="array" ref="I93">AWE*Res1S[[#This Row],[Damage Index]]*Inputs!F$30*Inputs!F$25</f>
        <v>183825.67486734202</v>
      </c>
      <c r="M93" s="50">
        <v>2.8</v>
      </c>
      <c r="N93" s="176">
        <v>0.27194138888888875</v>
      </c>
      <c r="O93" s="176"/>
      <c r="P93" s="177" cm="1">
        <f t="array" ref="P93">AWE*Res2S[[#This Row],[Damage Index]]*Inputs!C$30*Inputs!C$25</f>
        <v>50519.70490834536</v>
      </c>
      <c r="Q93" s="177" cm="1">
        <f t="array" ref="Q93">AWE*Res2S[[#This Row],[Damage Index]]*Inputs!D$30*Inputs!D$25</f>
        <v>101039.40981669072</v>
      </c>
      <c r="R93" s="177" cm="1">
        <f t="array" ref="R93">AWE*Res2S[[#This Row],[Damage Index]]*Inputs!E$30*Inputs!E$25</f>
        <v>134719.21308892095</v>
      </c>
      <c r="S93" s="177" cm="1">
        <f t="array" ref="S93">AWE*Res2S[[#This Row],[Damage Index]]*Inputs!F$30*Inputs!F$25</f>
        <v>123492.61199817756</v>
      </c>
      <c r="W93" s="50">
        <v>2.8</v>
      </c>
      <c r="X93" s="176">
        <v>1</v>
      </c>
      <c r="Y93" s="176" cm="1">
        <f t="array" ref="Y93">AWE*Res1I[[#This Row],[Damage Index]]*Actual_to_Potential</f>
        <v>0.92887120115774235</v>
      </c>
      <c r="Z93" s="177" cm="1">
        <f t="array" ref="Z93">AWE*Res1I[[#This Row],[Adjusted Damage Index]]*Inputs!$C$38*Inputs!C$30+IF(Res1I[[#This Row],[Level (m)]]&gt;0,Cleanup,0)+VLOOKUP(Res1I[[#This Row],[Level (m)]],Relocation[],3,FALSE)</f>
        <v>58677.283708671122</v>
      </c>
      <c r="AA93" s="177" cm="1">
        <f t="array" ref="AA93">AWE*Res1I[[#This Row],[Adjusted Damage Index]]*Inputs!$C$38*Inputs!D$30+IF(Res1I[[#This Row],[Level (m)]]&gt;0,Cleanup,0)+VLOOKUP(Res1I[[#This Row],[Level (m)]],Relocation[],3,FALSE)</f>
        <v>100954.56741734224</v>
      </c>
      <c r="AB93" s="177" cm="1">
        <f t="array" ref="AB93">AWE*Res1I[[#This Row],[Adjusted Damage Index]]*Inputs!$C$38*Inputs!E$30+IF(Res1I[[#This Row],[Level (m)]]&gt;0,Cleanup,0)+VLOOKUP(Res1I[[#This Row],[Level (m)]],Relocation[],3,FALSE)</f>
        <v>129139.423223123</v>
      </c>
      <c r="AC93" s="177" cm="1">
        <f t="array" ref="AC93">AWE*Res1I[[#This Row],[Adjusted Damage Index]]*Inputs!$C$38*Inputs!F$30+IF(Res1I[[#This Row],[Level (m)]]&gt;0,Cleanup,0)+VLOOKUP(Res1I[[#This Row],[Level (m)]],Relocation[],3,FALSE)</f>
        <v>119744.47128786275</v>
      </c>
      <c r="AG93" s="50">
        <v>2.8</v>
      </c>
      <c r="AH93" s="176">
        <v>0.50793650793650791</v>
      </c>
      <c r="AI93" s="176" cm="1">
        <f t="array" ref="AI93">AWE*Res2I[[#This Row],[Damage Index]]*Actual_to_Potential</f>
        <v>0.47180759423885321</v>
      </c>
      <c r="AJ93" s="177" cm="1">
        <f t="array" ref="AJ93">AWE*Res2I[[#This Row],[Adjusted Damage Index]]*Inputs!$C$38*Inputs!C$31+IF(Res2I[[#This Row],[Level (m)]]&gt;0,Cleanup,0)+VLOOKUP(Res2I[[#This Row],[Level (m)]],Relocation[],3,FALSE)</f>
        <v>37874.175852023429</v>
      </c>
      <c r="AK93" s="177" cm="1">
        <f t="array" ref="AK93">AWE*Res2I[[#This Row],[Adjusted Damage Index]]*Inputs!$C$38*Inputs!D$31+IF(Res2I[[#This Row],[Level (m)]]&gt;0,Cleanup,0)+VLOOKUP(Res2I[[#This Row],[Level (m)]],Relocation[],3,FALSE)</f>
        <v>59348.351704046858</v>
      </c>
      <c r="AL93" s="177" cm="1">
        <f t="array" ref="AL93">AWE*Res2I[[#This Row],[Adjusted Damage Index]]*Inputs!$C$38*Inputs!E$31+IF(Res2I[[#This Row],[Level (m)]]&gt;0,Cleanup,0)+VLOOKUP(Res2I[[#This Row],[Level (m)]],Relocation[],3,FALSE)</f>
        <v>73664.468938729144</v>
      </c>
      <c r="AM93" s="177" cm="1">
        <f t="array" ref="AM93">AWE*Res2I[[#This Row],[Adjusted Damage Index]]*Inputs!$C$38*Inputs!F$31+IF(Res2I[[#This Row],[Level (m)]]&gt;0,Cleanup,0)+VLOOKUP(Res2I[[#This Row],[Level (m)]],Relocation[],3,FALSE)</f>
        <v>68892.42986050171</v>
      </c>
    </row>
    <row r="94" spans="3:39" x14ac:dyDescent="0.3">
      <c r="C94" s="50">
        <v>2.85</v>
      </c>
      <c r="D94" s="176">
        <v>0.40924583333333342</v>
      </c>
      <c r="E94" s="176"/>
      <c r="F94" s="177" cm="1">
        <f t="array" ref="F94">AWE*Res1S[[#This Row],[Damage Index]]*Inputs!C$30*Inputs!C$25</f>
        <v>76027.333755426938</v>
      </c>
      <c r="G94" s="177" cm="1">
        <f t="array" ref="G94">AWE*Res1S[[#This Row],[Damage Index]]*Inputs!D$30*Inputs!D$25</f>
        <v>152054.66751085388</v>
      </c>
      <c r="H94" s="177" cm="1">
        <f t="array" ref="H94">AWE*Res1S[[#This Row],[Damage Index]]*Inputs!E$30*Inputs!E$25</f>
        <v>202739.55668113849</v>
      </c>
      <c r="I94" s="177" cm="1">
        <f t="array" ref="I94">AWE*Res1S[[#This Row],[Damage Index]]*Inputs!F$30*Inputs!F$25</f>
        <v>185844.59362437695</v>
      </c>
      <c r="M94" s="50">
        <v>2.85</v>
      </c>
      <c r="N94" s="176">
        <v>0.2990372916666667</v>
      </c>
      <c r="O94" s="176"/>
      <c r="P94" s="177" cm="1">
        <f t="array" ref="P94">AWE*Res2S[[#This Row],[Damage Index]]*Inputs!C$30*Inputs!C$25</f>
        <v>55553.425660274967</v>
      </c>
      <c r="Q94" s="177" cm="1">
        <f t="array" ref="Q94">AWE*Res2S[[#This Row],[Damage Index]]*Inputs!D$30*Inputs!D$25</f>
        <v>111106.85132054993</v>
      </c>
      <c r="R94" s="177" cm="1">
        <f t="array" ref="R94">AWE*Res2S[[#This Row],[Damage Index]]*Inputs!E$30*Inputs!E$25</f>
        <v>148142.4684273999</v>
      </c>
      <c r="S94" s="177" cm="1">
        <f t="array" ref="S94">AWE*Res2S[[#This Row],[Damage Index]]*Inputs!F$30*Inputs!F$25</f>
        <v>135797.26272511657</v>
      </c>
      <c r="W94" s="50">
        <v>2.85</v>
      </c>
      <c r="X94" s="176">
        <v>1</v>
      </c>
      <c r="Y94" s="176" cm="1">
        <f t="array" ref="Y94">AWE*Res1I[[#This Row],[Damage Index]]*Actual_to_Potential</f>
        <v>0.92887120115774235</v>
      </c>
      <c r="Z94" s="177" cm="1">
        <f t="array" ref="Z94">AWE*Res1I[[#This Row],[Adjusted Damage Index]]*Inputs!$C$38*Inputs!C$30+IF(Res1I[[#This Row],[Level (m)]]&gt;0,Cleanup,0)+VLOOKUP(Res1I[[#This Row],[Level (m)]],Relocation[],3,FALSE)</f>
        <v>58677.283708671122</v>
      </c>
      <c r="AA94" s="177" cm="1">
        <f t="array" ref="AA94">AWE*Res1I[[#This Row],[Adjusted Damage Index]]*Inputs!$C$38*Inputs!D$30+IF(Res1I[[#This Row],[Level (m)]]&gt;0,Cleanup,0)+VLOOKUP(Res1I[[#This Row],[Level (m)]],Relocation[],3,FALSE)</f>
        <v>100954.56741734224</v>
      </c>
      <c r="AB94" s="177" cm="1">
        <f t="array" ref="AB94">AWE*Res1I[[#This Row],[Adjusted Damage Index]]*Inputs!$C$38*Inputs!E$30+IF(Res1I[[#This Row],[Level (m)]]&gt;0,Cleanup,0)+VLOOKUP(Res1I[[#This Row],[Level (m)]],Relocation[],3,FALSE)</f>
        <v>129139.423223123</v>
      </c>
      <c r="AC94" s="177" cm="1">
        <f t="array" ref="AC94">AWE*Res1I[[#This Row],[Adjusted Damage Index]]*Inputs!$C$38*Inputs!F$30+IF(Res1I[[#This Row],[Level (m)]]&gt;0,Cleanup,0)+VLOOKUP(Res1I[[#This Row],[Level (m)]],Relocation[],3,FALSE)</f>
        <v>119744.47128786275</v>
      </c>
      <c r="AG94" s="50">
        <v>2.85</v>
      </c>
      <c r="AH94" s="176">
        <v>0.52380952380952384</v>
      </c>
      <c r="AI94" s="176" cm="1">
        <f t="array" ref="AI94">AWE*Res2I[[#This Row],[Damage Index]]*Actual_to_Potential</f>
        <v>0.48655158155881745</v>
      </c>
      <c r="AJ94" s="177" cm="1">
        <f t="array" ref="AJ94">AWE*Res2I[[#This Row],[Adjusted Damage Index]]*Inputs!$C$38*Inputs!C$31+IF(Res2I[[#This Row],[Level (m)]]&gt;0,Cleanup,0)+VLOOKUP(Res2I[[#This Row],[Level (m)]],Relocation[],3,FALSE)</f>
        <v>38545.243847399164</v>
      </c>
      <c r="AK94" s="177" cm="1">
        <f t="array" ref="AK94">AWE*Res2I[[#This Row],[Adjusted Damage Index]]*Inputs!$C$38*Inputs!D$31+IF(Res2I[[#This Row],[Level (m)]]&gt;0,Cleanup,0)+VLOOKUP(Res2I[[#This Row],[Level (m)]],Relocation[],3,FALSE)</f>
        <v>60690.487694798328</v>
      </c>
      <c r="AL94" s="177" cm="1">
        <f t="array" ref="AL94">AWE*Res2I[[#This Row],[Adjusted Damage Index]]*Inputs!$C$38*Inputs!E$31+IF(Res2I[[#This Row],[Level (m)]]&gt;0,Cleanup,0)+VLOOKUP(Res2I[[#This Row],[Level (m)]],Relocation[],3,FALSE)</f>
        <v>75453.983593064433</v>
      </c>
      <c r="AM94" s="177" cm="1">
        <f t="array" ref="AM94">AWE*Res2I[[#This Row],[Adjusted Damage Index]]*Inputs!$C$38*Inputs!F$31+IF(Res2I[[#This Row],[Level (m)]]&gt;0,Cleanup,0)+VLOOKUP(Res2I[[#This Row],[Level (m)]],Relocation[],3,FALSE)</f>
        <v>70532.818293642398</v>
      </c>
    </row>
    <row r="95" spans="3:39" x14ac:dyDescent="0.3">
      <c r="C95" s="50">
        <v>2.9</v>
      </c>
      <c r="D95" s="176">
        <v>0.41369166666666668</v>
      </c>
      <c r="E95" s="176"/>
      <c r="F95" s="177" cm="1">
        <f t="array" ref="F95">AWE*Res1S[[#This Row],[Damage Index]]*Inputs!C$30*Inputs!C$25</f>
        <v>76853.255065123012</v>
      </c>
      <c r="G95" s="177" cm="1">
        <f t="array" ref="G95">AWE*Res1S[[#This Row],[Damage Index]]*Inputs!D$30*Inputs!D$25</f>
        <v>153706.51013024602</v>
      </c>
      <c r="H95" s="177" cm="1">
        <f t="array" ref="H95">AWE*Res1S[[#This Row],[Damage Index]]*Inputs!E$30*Inputs!E$25</f>
        <v>204942.01350699467</v>
      </c>
      <c r="I95" s="177" cm="1">
        <f t="array" ref="I95">AWE*Res1S[[#This Row],[Damage Index]]*Inputs!F$30*Inputs!F$25</f>
        <v>187863.5123814118</v>
      </c>
      <c r="M95" s="50">
        <v>2.9</v>
      </c>
      <c r="N95" s="176">
        <v>0.32613319444444439</v>
      </c>
      <c r="O95" s="176"/>
      <c r="P95" s="177" cm="1">
        <f t="array" ref="P95">AWE*Res2S[[#This Row],[Damage Index]]*Inputs!C$30*Inputs!C$25</f>
        <v>60587.146412204522</v>
      </c>
      <c r="Q95" s="177" cm="1">
        <f t="array" ref="Q95">AWE*Res2S[[#This Row],[Damage Index]]*Inputs!D$30*Inputs!D$25</f>
        <v>121174.29282440904</v>
      </c>
      <c r="R95" s="177" cm="1">
        <f t="array" ref="R95">AWE*Res2S[[#This Row],[Damage Index]]*Inputs!E$30*Inputs!E$25</f>
        <v>161565.72376587871</v>
      </c>
      <c r="S95" s="177" cm="1">
        <f t="array" ref="S95">AWE*Res2S[[#This Row],[Damage Index]]*Inputs!F$30*Inputs!F$25</f>
        <v>148101.91345205548</v>
      </c>
      <c r="W95" s="50">
        <v>2.9</v>
      </c>
      <c r="X95" s="176">
        <v>1</v>
      </c>
      <c r="Y95" s="176" cm="1">
        <f t="array" ref="Y95">AWE*Res1I[[#This Row],[Damage Index]]*Actual_to_Potential</f>
        <v>0.92887120115774235</v>
      </c>
      <c r="Z95" s="177" cm="1">
        <f t="array" ref="Z95">AWE*Res1I[[#This Row],[Adjusted Damage Index]]*Inputs!$C$38*Inputs!C$30+IF(Res1I[[#This Row],[Level (m)]]&gt;0,Cleanup,0)+VLOOKUP(Res1I[[#This Row],[Level (m)]],Relocation[],3,FALSE)</f>
        <v>58677.283708671122</v>
      </c>
      <c r="AA95" s="177" cm="1">
        <f t="array" ref="AA95">AWE*Res1I[[#This Row],[Adjusted Damage Index]]*Inputs!$C$38*Inputs!D$30+IF(Res1I[[#This Row],[Level (m)]]&gt;0,Cleanup,0)+VLOOKUP(Res1I[[#This Row],[Level (m)]],Relocation[],3,FALSE)</f>
        <v>100954.56741734224</v>
      </c>
      <c r="AB95" s="177" cm="1">
        <f t="array" ref="AB95">AWE*Res1I[[#This Row],[Adjusted Damage Index]]*Inputs!$C$38*Inputs!E$30+IF(Res1I[[#This Row],[Level (m)]]&gt;0,Cleanup,0)+VLOOKUP(Res1I[[#This Row],[Level (m)]],Relocation[],3,FALSE)</f>
        <v>129139.423223123</v>
      </c>
      <c r="AC95" s="177" cm="1">
        <f t="array" ref="AC95">AWE*Res1I[[#This Row],[Adjusted Damage Index]]*Inputs!$C$38*Inputs!F$30+IF(Res1I[[#This Row],[Level (m)]]&gt;0,Cleanup,0)+VLOOKUP(Res1I[[#This Row],[Level (m)]],Relocation[],3,FALSE)</f>
        <v>119744.47128786275</v>
      </c>
      <c r="AG95" s="50">
        <v>2.9</v>
      </c>
      <c r="AH95" s="176">
        <v>0.53968253968253965</v>
      </c>
      <c r="AI95" s="176" cm="1">
        <f t="array" ref="AI95">AWE*Res2I[[#This Row],[Damage Index]]*Actual_to_Potential</f>
        <v>0.50129556887878157</v>
      </c>
      <c r="AJ95" s="177" cm="1">
        <f t="array" ref="AJ95">AWE*Res2I[[#This Row],[Adjusted Damage Index]]*Inputs!$C$38*Inputs!C$31+IF(Res2I[[#This Row],[Level (m)]]&gt;0,Cleanup,0)+VLOOKUP(Res2I[[#This Row],[Level (m)]],Relocation[],3,FALSE)</f>
        <v>39216.311842774892</v>
      </c>
      <c r="AK95" s="177" cm="1">
        <f t="array" ref="AK95">AWE*Res2I[[#This Row],[Adjusted Damage Index]]*Inputs!$C$38*Inputs!D$31+IF(Res2I[[#This Row],[Level (m)]]&gt;0,Cleanup,0)+VLOOKUP(Res2I[[#This Row],[Level (m)]],Relocation[],3,FALSE)</f>
        <v>62032.623685549785</v>
      </c>
      <c r="AL95" s="177" cm="1">
        <f t="array" ref="AL95">AWE*Res2I[[#This Row],[Adjusted Damage Index]]*Inputs!$C$38*Inputs!E$31+IF(Res2I[[#This Row],[Level (m)]]&gt;0,Cleanup,0)+VLOOKUP(Res2I[[#This Row],[Level (m)]],Relocation[],3,FALSE)</f>
        <v>77243.498247399708</v>
      </c>
      <c r="AM95" s="177" cm="1">
        <f t="array" ref="AM95">AWE*Res2I[[#This Row],[Adjusted Damage Index]]*Inputs!$C$38*Inputs!F$31+IF(Res2I[[#This Row],[Level (m)]]&gt;0,Cleanup,0)+VLOOKUP(Res2I[[#This Row],[Level (m)]],Relocation[],3,FALSE)</f>
        <v>72173.206726783072</v>
      </c>
    </row>
    <row r="96" spans="3:39" x14ac:dyDescent="0.3">
      <c r="C96" s="50">
        <v>2.95</v>
      </c>
      <c r="D96" s="176">
        <v>0.41813750000000005</v>
      </c>
      <c r="E96" s="176"/>
      <c r="F96" s="177" cm="1">
        <f t="array" ref="F96">AWE*Res1S[[#This Row],[Damage Index]]*Inputs!C$30*Inputs!C$25</f>
        <v>77679.176374819101</v>
      </c>
      <c r="G96" s="177" cm="1">
        <f t="array" ref="G96">AWE*Res1S[[#This Row],[Damage Index]]*Inputs!D$30*Inputs!D$25</f>
        <v>155358.3527496382</v>
      </c>
      <c r="H96" s="177" cm="1">
        <f t="array" ref="H96">AWE*Res1S[[#This Row],[Damage Index]]*Inputs!E$30*Inputs!E$25</f>
        <v>207144.47033285093</v>
      </c>
      <c r="I96" s="177" cm="1">
        <f t="array" ref="I96">AWE*Res1S[[#This Row],[Damage Index]]*Inputs!F$30*Inputs!F$25</f>
        <v>189882.43113844673</v>
      </c>
      <c r="M96" s="50">
        <v>2.95</v>
      </c>
      <c r="N96" s="176">
        <v>0.35322909722222234</v>
      </c>
      <c r="O96" s="176"/>
      <c r="P96" s="177" cm="1">
        <f t="array" ref="P96">AWE*Res2S[[#This Row],[Damage Index]]*Inputs!C$30*Inputs!C$25</f>
        <v>65620.867164134121</v>
      </c>
      <c r="Q96" s="177" cm="1">
        <f t="array" ref="Q96">AWE*Res2S[[#This Row],[Damage Index]]*Inputs!D$30*Inputs!D$25</f>
        <v>131241.73432826824</v>
      </c>
      <c r="R96" s="177" cm="1">
        <f t="array" ref="R96">AWE*Res2S[[#This Row],[Damage Index]]*Inputs!E$30*Inputs!E$25</f>
        <v>174988.97910435766</v>
      </c>
      <c r="S96" s="177" cm="1">
        <f t="array" ref="S96">AWE*Res2S[[#This Row],[Damage Index]]*Inputs!F$30*Inputs!F$25</f>
        <v>160406.56417899454</v>
      </c>
      <c r="W96" s="50">
        <v>2.95</v>
      </c>
      <c r="X96" s="176">
        <v>1</v>
      </c>
      <c r="Y96" s="176" cm="1">
        <f t="array" ref="Y96">AWE*Res1I[[#This Row],[Damage Index]]*Actual_to_Potential</f>
        <v>0.92887120115774235</v>
      </c>
      <c r="Z96" s="177" cm="1">
        <f t="array" ref="Z96">AWE*Res1I[[#This Row],[Adjusted Damage Index]]*Inputs!$C$38*Inputs!C$30+IF(Res1I[[#This Row],[Level (m)]]&gt;0,Cleanup,0)+VLOOKUP(Res1I[[#This Row],[Level (m)]],Relocation[],3,FALSE)</f>
        <v>58677.283708671122</v>
      </c>
      <c r="AA96" s="177" cm="1">
        <f t="array" ref="AA96">AWE*Res1I[[#This Row],[Adjusted Damage Index]]*Inputs!$C$38*Inputs!D$30+IF(Res1I[[#This Row],[Level (m)]]&gt;0,Cleanup,0)+VLOOKUP(Res1I[[#This Row],[Level (m)]],Relocation[],3,FALSE)</f>
        <v>100954.56741734224</v>
      </c>
      <c r="AB96" s="177" cm="1">
        <f t="array" ref="AB96">AWE*Res1I[[#This Row],[Adjusted Damage Index]]*Inputs!$C$38*Inputs!E$30+IF(Res1I[[#This Row],[Level (m)]]&gt;0,Cleanup,0)+VLOOKUP(Res1I[[#This Row],[Level (m)]],Relocation[],3,FALSE)</f>
        <v>129139.423223123</v>
      </c>
      <c r="AC96" s="177" cm="1">
        <f t="array" ref="AC96">AWE*Res1I[[#This Row],[Adjusted Damage Index]]*Inputs!$C$38*Inputs!F$30+IF(Res1I[[#This Row],[Level (m)]]&gt;0,Cleanup,0)+VLOOKUP(Res1I[[#This Row],[Level (m)]],Relocation[],3,FALSE)</f>
        <v>119744.47128786275</v>
      </c>
      <c r="AG96" s="50">
        <v>2.95</v>
      </c>
      <c r="AH96" s="176">
        <v>0.55555555555555558</v>
      </c>
      <c r="AI96" s="176" cm="1">
        <f t="array" ref="AI96">AWE*Res2I[[#This Row],[Damage Index]]*Actual_to_Potential</f>
        <v>0.51603955619874575</v>
      </c>
      <c r="AJ96" s="177" cm="1">
        <f t="array" ref="AJ96">AWE*Res2I[[#This Row],[Adjusted Damage Index]]*Inputs!$C$38*Inputs!C$31+IF(Res2I[[#This Row],[Level (m)]]&gt;0,Cleanup,0)+VLOOKUP(Res2I[[#This Row],[Level (m)]],Relocation[],3,FALSE)</f>
        <v>39887.37983815062</v>
      </c>
      <c r="AK96" s="177" cm="1">
        <f t="array" ref="AK96">AWE*Res2I[[#This Row],[Adjusted Damage Index]]*Inputs!$C$38*Inputs!D$31+IF(Res2I[[#This Row],[Level (m)]]&gt;0,Cleanup,0)+VLOOKUP(Res2I[[#This Row],[Level (m)]],Relocation[],3,FALSE)</f>
        <v>63374.759676301248</v>
      </c>
      <c r="AL96" s="177" cm="1">
        <f t="array" ref="AL96">AWE*Res2I[[#This Row],[Adjusted Damage Index]]*Inputs!$C$38*Inputs!E$31+IF(Res2I[[#This Row],[Level (m)]]&gt;0,Cleanup,0)+VLOOKUP(Res2I[[#This Row],[Level (m)]],Relocation[],3,FALSE)</f>
        <v>79033.012901734997</v>
      </c>
      <c r="AM96" s="177" cm="1">
        <f t="array" ref="AM96">AWE*Res2I[[#This Row],[Adjusted Damage Index]]*Inputs!$C$38*Inputs!F$31+IF(Res2I[[#This Row],[Level (m)]]&gt;0,Cleanup,0)+VLOOKUP(Res2I[[#This Row],[Level (m)]],Relocation[],3,FALSE)</f>
        <v>73813.595159923745</v>
      </c>
    </row>
    <row r="97" spans="3:39" x14ac:dyDescent="0.3">
      <c r="C97" s="50">
        <v>3</v>
      </c>
      <c r="D97" s="176">
        <v>0.42258333333333337</v>
      </c>
      <c r="E97" s="176"/>
      <c r="F97" s="177" cm="1">
        <f t="array" ref="F97">AWE*Res1S[[#This Row],[Damage Index]]*Inputs!C$30*Inputs!C$25</f>
        <v>78505.097684515204</v>
      </c>
      <c r="G97" s="177" cm="1">
        <f t="array" ref="G97">AWE*Res1S[[#This Row],[Damage Index]]*Inputs!D$30*Inputs!D$25</f>
        <v>157010.19536903041</v>
      </c>
      <c r="H97" s="177" cm="1">
        <f t="array" ref="H97">AWE*Res1S[[#This Row],[Damage Index]]*Inputs!E$30*Inputs!E$25</f>
        <v>209346.9271587072</v>
      </c>
      <c r="I97" s="177" cm="1">
        <f t="array" ref="I97">AWE*Res1S[[#This Row],[Damage Index]]*Inputs!F$30*Inputs!F$25</f>
        <v>191901.34989548157</v>
      </c>
      <c r="M97" s="50">
        <v>3</v>
      </c>
      <c r="N97" s="176">
        <v>0.38032500000000002</v>
      </c>
      <c r="O97" s="176"/>
      <c r="P97" s="177" cm="1">
        <f t="array" ref="P97">AWE*Res2S[[#This Row],[Damage Index]]*Inputs!C$30*Inputs!C$25</f>
        <v>70654.587916063669</v>
      </c>
      <c r="Q97" s="177" cm="1">
        <f t="array" ref="Q97">AWE*Res2S[[#This Row],[Damage Index]]*Inputs!D$30*Inputs!D$25</f>
        <v>141309.17583212734</v>
      </c>
      <c r="R97" s="177" cm="1">
        <f t="array" ref="R97">AWE*Res2S[[#This Row],[Damage Index]]*Inputs!E$30*Inputs!E$25</f>
        <v>188412.23444283649</v>
      </c>
      <c r="S97" s="177" cm="1">
        <f t="array" ref="S97">AWE*Res2S[[#This Row],[Damage Index]]*Inputs!F$30*Inputs!F$25</f>
        <v>172711.21490593345</v>
      </c>
      <c r="W97" s="50">
        <v>3</v>
      </c>
      <c r="X97" s="176">
        <v>1</v>
      </c>
      <c r="Y97" s="176" cm="1">
        <f t="array" ref="Y97">AWE*Res1I[[#This Row],[Damage Index]]*Actual_to_Potential</f>
        <v>0.92887120115774235</v>
      </c>
      <c r="Z97" s="177" cm="1">
        <f t="array" ref="Z97">AWE*Res1I[[#This Row],[Adjusted Damage Index]]*Inputs!$C$38*Inputs!C$30+IF(Res1I[[#This Row],[Level (m)]]&gt;0,Cleanup,0)+VLOOKUP(Res1I[[#This Row],[Level (m)]],Relocation[],3,FALSE)</f>
        <v>58677.283708671122</v>
      </c>
      <c r="AA97" s="177" cm="1">
        <f t="array" ref="AA97">AWE*Res1I[[#This Row],[Adjusted Damage Index]]*Inputs!$C$38*Inputs!D$30+IF(Res1I[[#This Row],[Level (m)]]&gt;0,Cleanup,0)+VLOOKUP(Res1I[[#This Row],[Level (m)]],Relocation[],3,FALSE)</f>
        <v>100954.56741734224</v>
      </c>
      <c r="AB97" s="177" cm="1">
        <f t="array" ref="AB97">AWE*Res1I[[#This Row],[Adjusted Damage Index]]*Inputs!$C$38*Inputs!E$30+IF(Res1I[[#This Row],[Level (m)]]&gt;0,Cleanup,0)+VLOOKUP(Res1I[[#This Row],[Level (m)]],Relocation[],3,FALSE)</f>
        <v>129139.423223123</v>
      </c>
      <c r="AC97" s="177" cm="1">
        <f t="array" ref="AC97">AWE*Res1I[[#This Row],[Adjusted Damage Index]]*Inputs!$C$38*Inputs!F$30+IF(Res1I[[#This Row],[Level (m)]]&gt;0,Cleanup,0)+VLOOKUP(Res1I[[#This Row],[Level (m)]],Relocation[],3,FALSE)</f>
        <v>119744.47128786275</v>
      </c>
      <c r="AG97" s="50">
        <v>3</v>
      </c>
      <c r="AH97" s="176">
        <v>0.5714285714285714</v>
      </c>
      <c r="AI97" s="176" cm="1">
        <f t="array" ref="AI97">AWE*Res2I[[#This Row],[Damage Index]]*Actual_to_Potential</f>
        <v>0.53078354351870993</v>
      </c>
      <c r="AJ97" s="177" cm="1">
        <f t="array" ref="AJ97">AWE*Res2I[[#This Row],[Adjusted Damage Index]]*Inputs!$C$38*Inputs!C$31+IF(Res2I[[#This Row],[Level (m)]]&gt;0,Cleanup,0)+VLOOKUP(Res2I[[#This Row],[Level (m)]],Relocation[],3,FALSE)</f>
        <v>40558.447833526356</v>
      </c>
      <c r="AK97" s="177" cm="1">
        <f t="array" ref="AK97">AWE*Res2I[[#This Row],[Adjusted Damage Index]]*Inputs!$C$38*Inputs!D$31+IF(Res2I[[#This Row],[Level (m)]]&gt;0,Cleanup,0)+VLOOKUP(Res2I[[#This Row],[Level (m)]],Relocation[],3,FALSE)</f>
        <v>64716.895667052711</v>
      </c>
      <c r="AL97" s="177" cm="1">
        <f t="array" ref="AL97">AWE*Res2I[[#This Row],[Adjusted Damage Index]]*Inputs!$C$38*Inputs!E$31+IF(Res2I[[#This Row],[Level (m)]]&gt;0,Cleanup,0)+VLOOKUP(Res2I[[#This Row],[Level (m)]],Relocation[],3,FALSE)</f>
        <v>80822.527556070272</v>
      </c>
      <c r="AM97" s="177" cm="1">
        <f t="array" ref="AM97">AWE*Res2I[[#This Row],[Adjusted Damage Index]]*Inputs!$C$38*Inputs!F$31+IF(Res2I[[#This Row],[Level (m)]]&gt;0,Cleanup,0)+VLOOKUP(Res2I[[#This Row],[Level (m)]],Relocation[],3,FALSE)</f>
        <v>75453.983593064419</v>
      </c>
    </row>
    <row r="98" spans="3:39" x14ac:dyDescent="0.3">
      <c r="M98" s="50">
        <v>3.05</v>
      </c>
      <c r="N98" s="176">
        <v>0.38432624999999998</v>
      </c>
      <c r="O98" s="176"/>
      <c r="P98" s="177" cm="1">
        <f t="array" ref="P98">AWE*Res2S[[#This Row],[Damage Index]]*Inputs!C$30*Inputs!C$25</f>
        <v>71397.917094790144</v>
      </c>
      <c r="Q98" s="177" cm="1">
        <f t="array" ref="Q98">AWE*Res2S[[#This Row],[Damage Index]]*Inputs!D$30*Inputs!D$25</f>
        <v>142795.83418958029</v>
      </c>
      <c r="R98" s="177" cm="1">
        <f t="array" ref="R98">AWE*Res2S[[#This Row],[Damage Index]]*Inputs!E$30*Inputs!E$25</f>
        <v>190394.44558610706</v>
      </c>
      <c r="S98" s="177" cm="1">
        <f t="array" ref="S98">AWE*Res2S[[#This Row],[Damage Index]]*Inputs!F$30*Inputs!F$25</f>
        <v>174528.24178726482</v>
      </c>
      <c r="AG98" s="50">
        <v>3.05</v>
      </c>
      <c r="AH98" s="176">
        <v>0.60317460317460303</v>
      </c>
      <c r="AI98" s="176" cm="1">
        <f t="array" ref="AI98">AWE*Res2I[[#This Row],[Damage Index]]*Actual_to_Potential</f>
        <v>0.56027151815863807</v>
      </c>
      <c r="AJ98" s="177" cm="1">
        <f t="array" ref="AJ98">AWE*Res2I[[#This Row],[Adjusted Damage Index]]*Inputs!$C$38*Inputs!C$31+IF(Res2I[[#This Row],[Level (m)]]&gt;0,Cleanup,0)+VLOOKUP(Res2I[[#This Row],[Level (m)]],Relocation[],3,FALSE)</f>
        <v>41900.583824277812</v>
      </c>
      <c r="AK98" s="177" cm="1">
        <f t="array" ref="AK98">AWE*Res2I[[#This Row],[Adjusted Damage Index]]*Inputs!$C$38*Inputs!D$31+IF(Res2I[[#This Row],[Level (m)]]&gt;0,Cleanup,0)+VLOOKUP(Res2I[[#This Row],[Level (m)]],Relocation[],3,FALSE)</f>
        <v>67401.167648555624</v>
      </c>
      <c r="AL98" s="177" cm="1">
        <f t="array" ref="AL98">AWE*Res2I[[#This Row],[Adjusted Damage Index]]*Inputs!$C$38*Inputs!E$31+IF(Res2I[[#This Row],[Level (m)]]&gt;0,Cleanup,0)+VLOOKUP(Res2I[[#This Row],[Level (m)]],Relocation[],3,FALSE)</f>
        <v>84401.556864740836</v>
      </c>
      <c r="AM98" s="177" cm="1">
        <f t="array" ref="AM98">AWE*Res2I[[#This Row],[Adjusted Damage Index]]*Inputs!$C$38*Inputs!F$31+IF(Res2I[[#This Row],[Level (m)]]&gt;0,Cleanup,0)+VLOOKUP(Res2I[[#This Row],[Level (m)]],Relocation[],3,FALSE)</f>
        <v>78734.760459345765</v>
      </c>
    </row>
    <row r="99" spans="3:39" x14ac:dyDescent="0.3">
      <c r="M99" s="50">
        <v>3.1</v>
      </c>
      <c r="N99" s="176">
        <v>0.38832749999999999</v>
      </c>
      <c r="O99" s="176"/>
      <c r="P99" s="177" cm="1">
        <f t="array" ref="P99">AWE*Res2S[[#This Row],[Damage Index]]*Inputs!C$30*Inputs!C$25</f>
        <v>72141.246273516648</v>
      </c>
      <c r="Q99" s="177" cm="1">
        <f t="array" ref="Q99">AWE*Res2S[[#This Row],[Damage Index]]*Inputs!D$30*Inputs!D$25</f>
        <v>144282.4925470333</v>
      </c>
      <c r="R99" s="177" cm="1">
        <f t="array" ref="R99">AWE*Res2S[[#This Row],[Damage Index]]*Inputs!E$30*Inputs!E$25</f>
        <v>192376.65672937772</v>
      </c>
      <c r="S99" s="177" cm="1">
        <f t="array" ref="S99">AWE*Res2S[[#This Row],[Damage Index]]*Inputs!F$30*Inputs!F$25</f>
        <v>176345.26866859623</v>
      </c>
      <c r="AG99" s="50">
        <v>3.1</v>
      </c>
      <c r="AH99" s="176">
        <v>0.634920634920635</v>
      </c>
      <c r="AI99" s="176" cm="1">
        <f t="array" ref="AI99">AWE*Res2I[[#This Row],[Damage Index]]*Actual_to_Potential</f>
        <v>0.58975949279856665</v>
      </c>
      <c r="AJ99" s="177" cm="1">
        <f t="array" ref="AJ99">AWE*Res2I[[#This Row],[Adjusted Damage Index]]*Inputs!$C$38*Inputs!C$31+IF(Res2I[[#This Row],[Level (m)]]&gt;0,Cleanup,0)+VLOOKUP(Res2I[[#This Row],[Level (m)]],Relocation[],3,FALSE)</f>
        <v>43242.719815029282</v>
      </c>
      <c r="AK99" s="177" cm="1">
        <f t="array" ref="AK99">AWE*Res2I[[#This Row],[Adjusted Damage Index]]*Inputs!$C$38*Inputs!D$31+IF(Res2I[[#This Row],[Level (m)]]&gt;0,Cleanup,0)+VLOOKUP(Res2I[[#This Row],[Level (m)]],Relocation[],3,FALSE)</f>
        <v>70085.439630058565</v>
      </c>
      <c r="AL99" s="177" cm="1">
        <f t="array" ref="AL99">AWE*Res2I[[#This Row],[Adjusted Damage Index]]*Inputs!$C$38*Inputs!E$31+IF(Res2I[[#This Row],[Level (m)]]&gt;0,Cleanup,0)+VLOOKUP(Res2I[[#This Row],[Level (m)]],Relocation[],3,FALSE)</f>
        <v>87980.58617341143</v>
      </c>
      <c r="AM99" s="177" cm="1">
        <f t="array" ref="AM99">AWE*Res2I[[#This Row],[Adjusted Damage Index]]*Inputs!$C$38*Inputs!F$31+IF(Res2I[[#This Row],[Level (m)]]&gt;0,Cleanup,0)+VLOOKUP(Res2I[[#This Row],[Level (m)]],Relocation[],3,FALSE)</f>
        <v>82015.537325627141</v>
      </c>
    </row>
    <row r="100" spans="3:39" x14ac:dyDescent="0.3">
      <c r="M100" s="50">
        <v>3.15</v>
      </c>
      <c r="N100" s="176">
        <v>0.39232875</v>
      </c>
      <c r="O100" s="176"/>
      <c r="P100" s="177" cm="1">
        <f t="array" ref="P100">AWE*Res2S[[#This Row],[Damage Index]]*Inputs!C$30*Inputs!C$25</f>
        <v>72884.575452243123</v>
      </c>
      <c r="Q100" s="177" cm="1">
        <f t="array" ref="Q100">AWE*Res2S[[#This Row],[Damage Index]]*Inputs!D$30*Inputs!D$25</f>
        <v>145769.15090448625</v>
      </c>
      <c r="R100" s="177" cm="1">
        <f t="array" ref="R100">AWE*Res2S[[#This Row],[Damage Index]]*Inputs!E$30*Inputs!E$25</f>
        <v>194358.86787264835</v>
      </c>
      <c r="S100" s="177" cm="1">
        <f t="array" ref="S100">AWE*Res2S[[#This Row],[Damage Index]]*Inputs!F$30*Inputs!F$25</f>
        <v>178162.29554992766</v>
      </c>
      <c r="AG100" s="50">
        <v>3.15</v>
      </c>
      <c r="AH100" s="176">
        <v>0.66666666666666663</v>
      </c>
      <c r="AI100" s="176" cm="1">
        <f t="array" ref="AI100">AWE*Res2I[[#This Row],[Damage Index]]*Actual_to_Potential</f>
        <v>0.6192474674384949</v>
      </c>
      <c r="AJ100" s="177" cm="1">
        <f t="array" ref="AJ100">AWE*Res2I[[#This Row],[Adjusted Damage Index]]*Inputs!$C$38*Inputs!C$31+IF(Res2I[[#This Row],[Level (m)]]&gt;0,Cleanup,0)+VLOOKUP(Res2I[[#This Row],[Level (m)]],Relocation[],3,FALSE)</f>
        <v>44584.855805780753</v>
      </c>
      <c r="AK100" s="177" cm="1">
        <f t="array" ref="AK100">AWE*Res2I[[#This Row],[Adjusted Damage Index]]*Inputs!$C$38*Inputs!D$31+IF(Res2I[[#This Row],[Level (m)]]&gt;0,Cleanup,0)+VLOOKUP(Res2I[[#This Row],[Level (m)]],Relocation[],3,FALSE)</f>
        <v>72769.711611561506</v>
      </c>
      <c r="AL100" s="177" cm="1">
        <f t="array" ref="AL100">AWE*Res2I[[#This Row],[Adjusted Damage Index]]*Inputs!$C$38*Inputs!E$31+IF(Res2I[[#This Row],[Level (m)]]&gt;0,Cleanup,0)+VLOOKUP(Res2I[[#This Row],[Level (m)]],Relocation[],3,FALSE)</f>
        <v>91559.615482082008</v>
      </c>
      <c r="AM100" s="177" cm="1">
        <f t="array" ref="AM100">AWE*Res2I[[#This Row],[Adjusted Damage Index]]*Inputs!$C$38*Inputs!F$31+IF(Res2I[[#This Row],[Level (m)]]&gt;0,Cleanup,0)+VLOOKUP(Res2I[[#This Row],[Level (m)]],Relocation[],3,FALSE)</f>
        <v>85296.314191908503</v>
      </c>
    </row>
    <row r="101" spans="3:39" x14ac:dyDescent="0.3">
      <c r="M101" s="50">
        <v>3.2</v>
      </c>
      <c r="N101" s="176">
        <v>0.39633000000000002</v>
      </c>
      <c r="O101" s="176"/>
      <c r="P101" s="177" cm="1">
        <f t="array" ref="P101">AWE*Res2S[[#This Row],[Damage Index]]*Inputs!C$30*Inputs!C$25</f>
        <v>73627.904630969613</v>
      </c>
      <c r="Q101" s="177" cm="1">
        <f t="array" ref="Q101">AWE*Res2S[[#This Row],[Damage Index]]*Inputs!D$30*Inputs!D$25</f>
        <v>147255.80926193923</v>
      </c>
      <c r="R101" s="177" cm="1">
        <f t="array" ref="R101">AWE*Res2S[[#This Row],[Damage Index]]*Inputs!E$30*Inputs!E$25</f>
        <v>196341.07901591895</v>
      </c>
      <c r="S101" s="177" cm="1">
        <f t="array" ref="S101">AWE*Res2S[[#This Row],[Damage Index]]*Inputs!F$30*Inputs!F$25</f>
        <v>179979.32243125903</v>
      </c>
      <c r="AG101" s="50">
        <v>3.2</v>
      </c>
      <c r="AH101" s="176">
        <v>0.6984126984126986</v>
      </c>
      <c r="AI101" s="176" cm="1">
        <f t="array" ref="AI101">AWE*Res2I[[#This Row],[Damage Index]]*Actual_to_Potential</f>
        <v>0.64873544207842337</v>
      </c>
      <c r="AJ101" s="177" cm="1">
        <f t="array" ref="AJ101">AWE*Res2I[[#This Row],[Adjusted Damage Index]]*Inputs!$C$38*Inputs!C$31+IF(Res2I[[#This Row],[Level (m)]]&gt;0,Cleanup,0)+VLOOKUP(Res2I[[#This Row],[Level (m)]],Relocation[],3,FALSE)</f>
        <v>45926.991796532224</v>
      </c>
      <c r="AK101" s="177" cm="1">
        <f t="array" ref="AK101">AWE*Res2I[[#This Row],[Adjusted Damage Index]]*Inputs!$C$38*Inputs!D$31+IF(Res2I[[#This Row],[Level (m)]]&gt;0,Cleanup,0)+VLOOKUP(Res2I[[#This Row],[Level (m)]],Relocation[],3,FALSE)</f>
        <v>75453.983593064448</v>
      </c>
      <c r="AL101" s="177" cm="1">
        <f t="array" ref="AL101">AWE*Res2I[[#This Row],[Adjusted Damage Index]]*Inputs!$C$38*Inputs!E$31+IF(Res2I[[#This Row],[Level (m)]]&gt;0,Cleanup,0)+VLOOKUP(Res2I[[#This Row],[Level (m)]],Relocation[],3,FALSE)</f>
        <v>95138.644790752587</v>
      </c>
      <c r="AM101" s="177" cm="1">
        <f t="array" ref="AM101">AWE*Res2I[[#This Row],[Adjusted Damage Index]]*Inputs!$C$38*Inputs!F$31+IF(Res2I[[#This Row],[Level (m)]]&gt;0,Cleanup,0)+VLOOKUP(Res2I[[#This Row],[Level (m)]],Relocation[],3,FALSE)</f>
        <v>88577.091058189864</v>
      </c>
    </row>
    <row r="102" spans="3:39" x14ac:dyDescent="0.3">
      <c r="M102" s="50">
        <v>3.25</v>
      </c>
      <c r="N102" s="176">
        <v>0.40033124999999997</v>
      </c>
      <c r="O102" s="176"/>
      <c r="P102" s="177" cm="1">
        <f t="array" ref="P102">AWE*Res2S[[#This Row],[Damage Index]]*Inputs!C$30*Inputs!C$25</f>
        <v>74371.233809696074</v>
      </c>
      <c r="Q102" s="177" cm="1">
        <f t="array" ref="Q102">AWE*Res2S[[#This Row],[Damage Index]]*Inputs!D$30*Inputs!D$25</f>
        <v>148742.46761939215</v>
      </c>
      <c r="R102" s="177" cm="1">
        <f t="array" ref="R102">AWE*Res2S[[#This Row],[Damage Index]]*Inputs!E$30*Inputs!E$25</f>
        <v>198323.29015918955</v>
      </c>
      <c r="S102" s="177" cm="1">
        <f t="array" ref="S102">AWE*Res2S[[#This Row],[Damage Index]]*Inputs!F$30*Inputs!F$25</f>
        <v>181796.34931259044</v>
      </c>
      <c r="AG102" s="50">
        <v>3.25</v>
      </c>
      <c r="AH102" s="176">
        <v>0.73015873015873023</v>
      </c>
      <c r="AI102" s="176" cm="1">
        <f t="array" ref="AI102">AWE*Res2I[[#This Row],[Damage Index]]*Actual_to_Potential</f>
        <v>0.67822341671835162</v>
      </c>
      <c r="AJ102" s="177" cm="1">
        <f t="array" ref="AJ102">AWE*Res2I[[#This Row],[Adjusted Damage Index]]*Inputs!$C$38*Inputs!C$31+IF(Res2I[[#This Row],[Level (m)]]&gt;0,Cleanup,0)+VLOOKUP(Res2I[[#This Row],[Level (m)]],Relocation[],3,FALSE)</f>
        <v>47269.12778728368</v>
      </c>
      <c r="AK102" s="177" cm="1">
        <f t="array" ref="AK102">AWE*Res2I[[#This Row],[Adjusted Damage Index]]*Inputs!$C$38*Inputs!D$31+IF(Res2I[[#This Row],[Level (m)]]&gt;0,Cleanup,0)+VLOOKUP(Res2I[[#This Row],[Level (m)]],Relocation[],3,FALSE)</f>
        <v>78138.25557456736</v>
      </c>
      <c r="AL102" s="177" cm="1">
        <f t="array" ref="AL102">AWE*Res2I[[#This Row],[Adjusted Damage Index]]*Inputs!$C$38*Inputs!E$31+IF(Res2I[[#This Row],[Level (m)]]&gt;0,Cleanup,0)+VLOOKUP(Res2I[[#This Row],[Level (m)]],Relocation[],3,FALSE)</f>
        <v>98717.674099423151</v>
      </c>
      <c r="AM102" s="177" cm="1">
        <f t="array" ref="AM102">AWE*Res2I[[#This Row],[Adjusted Damage Index]]*Inputs!$C$38*Inputs!F$31+IF(Res2I[[#This Row],[Level (m)]]&gt;0,Cleanup,0)+VLOOKUP(Res2I[[#This Row],[Level (m)]],Relocation[],3,FALSE)</f>
        <v>91857.867924471226</v>
      </c>
    </row>
    <row r="103" spans="3:39" x14ac:dyDescent="0.3">
      <c r="M103" s="50">
        <v>3.3</v>
      </c>
      <c r="N103" s="176">
        <v>0.40433249999999998</v>
      </c>
      <c r="O103" s="176"/>
      <c r="P103" s="177" cm="1">
        <f t="array" ref="P103">AWE*Res2S[[#This Row],[Damage Index]]*Inputs!C$30*Inputs!C$25</f>
        <v>75114.562988422578</v>
      </c>
      <c r="Q103" s="177" cm="1">
        <f t="array" ref="Q103">AWE*Res2S[[#This Row],[Damage Index]]*Inputs!D$30*Inputs!D$25</f>
        <v>150229.12597684516</v>
      </c>
      <c r="R103" s="177" cm="1">
        <f t="array" ref="R103">AWE*Res2S[[#This Row],[Damage Index]]*Inputs!E$30*Inputs!E$25</f>
        <v>200305.50130246018</v>
      </c>
      <c r="S103" s="177" cm="1">
        <f t="array" ref="S103">AWE*Res2S[[#This Row],[Damage Index]]*Inputs!F$30*Inputs!F$25</f>
        <v>183613.37619392184</v>
      </c>
      <c r="AG103" s="50">
        <v>3.3</v>
      </c>
      <c r="AH103" s="176">
        <v>0.74920634920634921</v>
      </c>
      <c r="AI103" s="176" cm="1">
        <f t="array" ref="AI103">AWE*Res2I[[#This Row],[Damage Index]]*Actual_to_Potential</f>
        <v>0.6959162015023086</v>
      </c>
      <c r="AJ103" s="177" cm="1">
        <f t="array" ref="AJ103">AWE*Res2I[[#This Row],[Adjusted Damage Index]]*Inputs!$C$38*Inputs!C$31+IF(Res2I[[#This Row],[Level (m)]]&gt;0,Cleanup,0)+VLOOKUP(Res2I[[#This Row],[Level (m)]],Relocation[],3,FALSE)</f>
        <v>48074.409381734557</v>
      </c>
      <c r="AK103" s="177" cm="1">
        <f t="array" ref="AK103">AWE*Res2I[[#This Row],[Adjusted Damage Index]]*Inputs!$C$38*Inputs!D$31+IF(Res2I[[#This Row],[Level (m)]]&gt;0,Cleanup,0)+VLOOKUP(Res2I[[#This Row],[Level (m)]],Relocation[],3,FALSE)</f>
        <v>79748.818763469113</v>
      </c>
      <c r="AL103" s="177" cm="1">
        <f t="array" ref="AL103">AWE*Res2I[[#This Row],[Adjusted Damage Index]]*Inputs!$C$38*Inputs!E$31+IF(Res2I[[#This Row],[Level (m)]]&gt;0,Cleanup,0)+VLOOKUP(Res2I[[#This Row],[Level (m)]],Relocation[],3,FALSE)</f>
        <v>100865.09168462548</v>
      </c>
      <c r="AM103" s="177" cm="1">
        <f t="array" ref="AM103">AWE*Res2I[[#This Row],[Adjusted Damage Index]]*Inputs!$C$38*Inputs!F$31+IF(Res2I[[#This Row],[Level (m)]]&gt;0,Cleanup,0)+VLOOKUP(Res2I[[#This Row],[Level (m)]],Relocation[],3,FALSE)</f>
        <v>93826.334044240037</v>
      </c>
    </row>
    <row r="104" spans="3:39" x14ac:dyDescent="0.3">
      <c r="M104" s="50">
        <v>3.35</v>
      </c>
      <c r="N104" s="176">
        <v>0.40833375</v>
      </c>
      <c r="O104" s="176"/>
      <c r="P104" s="177" cm="1">
        <f t="array" ref="P104">AWE*Res2S[[#This Row],[Damage Index]]*Inputs!C$30*Inputs!C$25</f>
        <v>75857.892167149053</v>
      </c>
      <c r="Q104" s="177" cm="1">
        <f t="array" ref="Q104">AWE*Res2S[[#This Row],[Damage Index]]*Inputs!D$30*Inputs!D$25</f>
        <v>151715.78433429811</v>
      </c>
      <c r="R104" s="177" cm="1">
        <f t="array" ref="R104">AWE*Res2S[[#This Row],[Damage Index]]*Inputs!E$30*Inputs!E$25</f>
        <v>202287.71244573078</v>
      </c>
      <c r="S104" s="177" cm="1">
        <f t="array" ref="S104">AWE*Res2S[[#This Row],[Damage Index]]*Inputs!F$30*Inputs!F$25</f>
        <v>185430.40307525321</v>
      </c>
      <c r="AG104" s="50">
        <v>3.35</v>
      </c>
      <c r="AH104" s="176">
        <v>0.76825396825396841</v>
      </c>
      <c r="AI104" s="176" cm="1">
        <f t="array" ref="AI104">AWE*Res2I[[#This Row],[Damage Index]]*Actual_to_Potential</f>
        <v>0.71360898628626568</v>
      </c>
      <c r="AJ104" s="177" cm="1">
        <f t="array" ref="AJ104">AWE*Res2I[[#This Row],[Adjusted Damage Index]]*Inputs!$C$38*Inputs!C$31+IF(Res2I[[#This Row],[Level (m)]]&gt;0,Cleanup,0)+VLOOKUP(Res2I[[#This Row],[Level (m)]],Relocation[],3,FALSE)</f>
        <v>48879.690976185448</v>
      </c>
      <c r="AK104" s="177" cm="1">
        <f t="array" ref="AK104">AWE*Res2I[[#This Row],[Adjusted Damage Index]]*Inputs!$C$38*Inputs!D$31+IF(Res2I[[#This Row],[Level (m)]]&gt;0,Cleanup,0)+VLOOKUP(Res2I[[#This Row],[Level (m)]],Relocation[],3,FALSE)</f>
        <v>81359.381952370895</v>
      </c>
      <c r="AL104" s="177" cm="1">
        <f t="array" ref="AL104">AWE*Res2I[[#This Row],[Adjusted Damage Index]]*Inputs!$C$38*Inputs!E$31+IF(Res2I[[#This Row],[Level (m)]]&gt;0,Cleanup,0)+VLOOKUP(Res2I[[#This Row],[Level (m)]],Relocation[],3,FALSE)</f>
        <v>103012.50926982785</v>
      </c>
      <c r="AM104" s="177" cm="1">
        <f t="array" ref="AM104">AWE*Res2I[[#This Row],[Adjusted Damage Index]]*Inputs!$C$38*Inputs!F$31+IF(Res2I[[#This Row],[Level (m)]]&gt;0,Cleanup,0)+VLOOKUP(Res2I[[#This Row],[Level (m)]],Relocation[],3,FALSE)</f>
        <v>95794.800164008862</v>
      </c>
    </row>
    <row r="105" spans="3:39" x14ac:dyDescent="0.3">
      <c r="M105" s="50">
        <v>3.4</v>
      </c>
      <c r="N105" s="176">
        <v>0.41233499999999995</v>
      </c>
      <c r="O105" s="176"/>
      <c r="P105" s="177" cm="1">
        <f t="array" ref="P105">AWE*Res2S[[#This Row],[Damage Index]]*Inputs!C$30*Inputs!C$25</f>
        <v>76601.221345875529</v>
      </c>
      <c r="Q105" s="177" cm="1">
        <f t="array" ref="Q105">AWE*Res2S[[#This Row],[Damage Index]]*Inputs!D$30*Inputs!D$25</f>
        <v>153202.44269175106</v>
      </c>
      <c r="R105" s="177" cm="1">
        <f t="array" ref="R105">AWE*Res2S[[#This Row],[Damage Index]]*Inputs!E$30*Inputs!E$25</f>
        <v>204269.92358900141</v>
      </c>
      <c r="S105" s="177" cm="1">
        <f t="array" ref="S105">AWE*Res2S[[#This Row],[Damage Index]]*Inputs!F$30*Inputs!F$25</f>
        <v>187247.42995658462</v>
      </c>
      <c r="AG105" s="50">
        <v>3.4</v>
      </c>
      <c r="AH105" s="176">
        <v>0.78730158730158739</v>
      </c>
      <c r="AI105" s="176" cm="1">
        <f t="array" ref="AI105">AWE*Res2I[[#This Row],[Damage Index]]*Actual_to_Potential</f>
        <v>0.73130177107022265</v>
      </c>
      <c r="AJ105" s="177" cm="1">
        <f t="array" ref="AJ105">AWE*Res2I[[#This Row],[Adjusted Damage Index]]*Inputs!$C$38*Inputs!C$31+IF(Res2I[[#This Row],[Level (m)]]&gt;0,Cleanup,0)+VLOOKUP(Res2I[[#This Row],[Level (m)]],Relocation[],3,FALSE)</f>
        <v>49684.972570636317</v>
      </c>
      <c r="AK105" s="177" cm="1">
        <f t="array" ref="AK105">AWE*Res2I[[#This Row],[Adjusted Damage Index]]*Inputs!$C$38*Inputs!D$31+IF(Res2I[[#This Row],[Level (m)]]&gt;0,Cleanup,0)+VLOOKUP(Res2I[[#This Row],[Level (m)]],Relocation[],3,FALSE)</f>
        <v>82969.945141272634</v>
      </c>
      <c r="AL105" s="177" cm="1">
        <f t="array" ref="AL105">AWE*Res2I[[#This Row],[Adjusted Damage Index]]*Inputs!$C$38*Inputs!E$31+IF(Res2I[[#This Row],[Level (m)]]&gt;0,Cleanup,0)+VLOOKUP(Res2I[[#This Row],[Level (m)]],Relocation[],3,FALSE)</f>
        <v>105159.92685503018</v>
      </c>
      <c r="AM105" s="177" cm="1">
        <f t="array" ref="AM105">AWE*Res2I[[#This Row],[Adjusted Damage Index]]*Inputs!$C$38*Inputs!F$31+IF(Res2I[[#This Row],[Level (m)]]&gt;0,Cleanup,0)+VLOOKUP(Res2I[[#This Row],[Level (m)]],Relocation[],3,FALSE)</f>
        <v>97763.266283777673</v>
      </c>
    </row>
    <row r="106" spans="3:39" x14ac:dyDescent="0.3">
      <c r="M106" s="50">
        <v>3.45</v>
      </c>
      <c r="N106" s="176">
        <v>0.41633624999999996</v>
      </c>
      <c r="O106" s="176"/>
      <c r="P106" s="177" cm="1">
        <f t="array" ref="P106">AWE*Res2S[[#This Row],[Damage Index]]*Inputs!C$30*Inputs!C$25</f>
        <v>77344.550524602018</v>
      </c>
      <c r="Q106" s="177" cm="1">
        <f t="array" ref="Q106">AWE*Res2S[[#This Row],[Damage Index]]*Inputs!D$30*Inputs!D$25</f>
        <v>154689.10104920404</v>
      </c>
      <c r="R106" s="177" cm="1">
        <f t="array" ref="R106">AWE*Res2S[[#This Row],[Damage Index]]*Inputs!E$30*Inputs!E$25</f>
        <v>206252.13473227207</v>
      </c>
      <c r="S106" s="177" cm="1">
        <f t="array" ref="S106">AWE*Res2S[[#This Row],[Damage Index]]*Inputs!F$30*Inputs!F$25</f>
        <v>189064.45683791605</v>
      </c>
      <c r="AG106" s="50">
        <v>3.45</v>
      </c>
      <c r="AH106" s="176">
        <v>0.80634920634920648</v>
      </c>
      <c r="AI106" s="176" cm="1">
        <f t="array" ref="AI106">AWE*Res2I[[#This Row],[Damage Index]]*Actual_to_Potential</f>
        <v>0.74899455585417973</v>
      </c>
      <c r="AJ106" s="177" cm="1">
        <f t="array" ref="AJ106">AWE*Res2I[[#This Row],[Adjusted Damage Index]]*Inputs!$C$38*Inputs!C$31+IF(Res2I[[#This Row],[Level (m)]]&gt;0,Cleanup,0)+VLOOKUP(Res2I[[#This Row],[Level (m)]],Relocation[],3,FALSE)</f>
        <v>50490.254165087208</v>
      </c>
      <c r="AK106" s="177" cm="1">
        <f t="array" ref="AK106">AWE*Res2I[[#This Row],[Adjusted Damage Index]]*Inputs!$C$38*Inputs!D$31+IF(Res2I[[#This Row],[Level (m)]]&gt;0,Cleanup,0)+VLOOKUP(Res2I[[#This Row],[Level (m)]],Relocation[],3,FALSE)</f>
        <v>84580.508330174416</v>
      </c>
      <c r="AL106" s="177" cm="1">
        <f t="array" ref="AL106">AWE*Res2I[[#This Row],[Adjusted Damage Index]]*Inputs!$C$38*Inputs!E$31+IF(Res2I[[#This Row],[Level (m)]]&gt;0,Cleanup,0)+VLOOKUP(Res2I[[#This Row],[Level (m)]],Relocation[],3,FALSE)</f>
        <v>107307.34444023254</v>
      </c>
      <c r="AM106" s="177" cm="1">
        <f t="array" ref="AM106">AWE*Res2I[[#This Row],[Adjusted Damage Index]]*Inputs!$C$38*Inputs!F$31+IF(Res2I[[#This Row],[Level (m)]]&gt;0,Cleanup,0)+VLOOKUP(Res2I[[#This Row],[Level (m)]],Relocation[],3,FALSE)</f>
        <v>99731.732403546499</v>
      </c>
    </row>
    <row r="107" spans="3:39" x14ac:dyDescent="0.3">
      <c r="M107" s="50">
        <v>3.5</v>
      </c>
      <c r="N107" s="176">
        <v>0.42033749999999992</v>
      </c>
      <c r="O107" s="176"/>
      <c r="P107" s="177" cm="1">
        <f t="array" ref="P107">AWE*Res2S[[#This Row],[Damage Index]]*Inputs!C$30*Inputs!C$25</f>
        <v>78087.879703328479</v>
      </c>
      <c r="Q107" s="177" cm="1">
        <f t="array" ref="Q107">AWE*Res2S[[#This Row],[Damage Index]]*Inputs!D$30*Inputs!D$25</f>
        <v>156175.75940665696</v>
      </c>
      <c r="R107" s="177" cm="1">
        <f t="array" ref="R107">AWE*Res2S[[#This Row],[Damage Index]]*Inputs!E$30*Inputs!E$25</f>
        <v>208234.34587554264</v>
      </c>
      <c r="S107" s="177" cm="1">
        <f t="array" ref="S107">AWE*Res2S[[#This Row],[Damage Index]]*Inputs!F$30*Inputs!F$25</f>
        <v>190881.48371924739</v>
      </c>
      <c r="AG107" s="50">
        <v>3.5</v>
      </c>
      <c r="AH107" s="176">
        <v>0.82539682539682546</v>
      </c>
      <c r="AI107" s="176" cm="1">
        <f t="array" ref="AI107">AWE*Res2I[[#This Row],[Damage Index]]*Actual_to_Potential</f>
        <v>0.76668734063813671</v>
      </c>
      <c r="AJ107" s="177" cm="1">
        <f t="array" ref="AJ107">AWE*Res2I[[#This Row],[Adjusted Damage Index]]*Inputs!$C$38*Inputs!C$31+IF(Res2I[[#This Row],[Level (m)]]&gt;0,Cleanup,0)+VLOOKUP(Res2I[[#This Row],[Level (m)]],Relocation[],3,FALSE)</f>
        <v>51295.535759538077</v>
      </c>
      <c r="AK107" s="177" cm="1">
        <f t="array" ref="AK107">AWE*Res2I[[#This Row],[Adjusted Damage Index]]*Inputs!$C$38*Inputs!D$31+IF(Res2I[[#This Row],[Level (m)]]&gt;0,Cleanup,0)+VLOOKUP(Res2I[[#This Row],[Level (m)]],Relocation[],3,FALSE)</f>
        <v>86191.071519076155</v>
      </c>
      <c r="AL107" s="177" cm="1">
        <f t="array" ref="AL107">AWE*Res2I[[#This Row],[Adjusted Damage Index]]*Inputs!$C$38*Inputs!E$31+IF(Res2I[[#This Row],[Level (m)]]&gt;0,Cleanup,0)+VLOOKUP(Res2I[[#This Row],[Level (m)]],Relocation[],3,FALSE)</f>
        <v>109454.76202543487</v>
      </c>
      <c r="AM107" s="177" cm="1">
        <f t="array" ref="AM107">AWE*Res2I[[#This Row],[Adjusted Damage Index]]*Inputs!$C$38*Inputs!F$31+IF(Res2I[[#This Row],[Level (m)]]&gt;0,Cleanup,0)+VLOOKUP(Res2I[[#This Row],[Level (m)]],Relocation[],3,FALSE)</f>
        <v>101700.19852331531</v>
      </c>
    </row>
    <row r="108" spans="3:39" x14ac:dyDescent="0.3">
      <c r="M108" s="50">
        <v>3.55</v>
      </c>
      <c r="N108" s="176">
        <v>0.42433874999999993</v>
      </c>
      <c r="O108" s="176"/>
      <c r="P108" s="177" cm="1">
        <f t="array" ref="P108">AWE*Res2S[[#This Row],[Damage Index]]*Inputs!C$30*Inputs!C$25</f>
        <v>78831.208882054983</v>
      </c>
      <c r="Q108" s="177" cm="1">
        <f t="array" ref="Q108">AWE*Res2S[[#This Row],[Damage Index]]*Inputs!D$30*Inputs!D$25</f>
        <v>157662.41776410997</v>
      </c>
      <c r="R108" s="177" cm="1">
        <f t="array" ref="R108">AWE*Res2S[[#This Row],[Damage Index]]*Inputs!E$30*Inputs!E$25</f>
        <v>210216.55701881327</v>
      </c>
      <c r="S108" s="177" cm="1">
        <f t="array" ref="S108">AWE*Res2S[[#This Row],[Damage Index]]*Inputs!F$30*Inputs!F$25</f>
        <v>192698.51060057883</v>
      </c>
      <c r="AG108" s="50">
        <v>3.55</v>
      </c>
      <c r="AH108" s="176">
        <v>0.83809523809523812</v>
      </c>
      <c r="AI108" s="176" cm="1">
        <f t="array" ref="AI108">AWE*Res2I[[#This Row],[Damage Index]]*Actual_to_Potential</f>
        <v>0.77848253049410798</v>
      </c>
      <c r="AJ108" s="177" cm="1">
        <f t="array" ref="AJ108">AWE*Res2I[[#This Row],[Adjusted Damage Index]]*Inputs!$C$38*Inputs!C$31+IF(Res2I[[#This Row],[Level (m)]]&gt;0,Cleanup,0)+VLOOKUP(Res2I[[#This Row],[Level (m)]],Relocation[],3,FALSE)</f>
        <v>51832.390155838664</v>
      </c>
      <c r="AK108" s="177" cm="1">
        <f t="array" ref="AK108">AWE*Res2I[[#This Row],[Adjusted Damage Index]]*Inputs!$C$38*Inputs!D$31+IF(Res2I[[#This Row],[Level (m)]]&gt;0,Cleanup,0)+VLOOKUP(Res2I[[#This Row],[Level (m)]],Relocation[],3,FALSE)</f>
        <v>87264.780311677328</v>
      </c>
      <c r="AL108" s="177" cm="1">
        <f t="array" ref="AL108">AWE*Res2I[[#This Row],[Adjusted Damage Index]]*Inputs!$C$38*Inputs!E$31+IF(Res2I[[#This Row],[Level (m)]]&gt;0,Cleanup,0)+VLOOKUP(Res2I[[#This Row],[Level (m)]],Relocation[],3,FALSE)</f>
        <v>110886.3737489031</v>
      </c>
      <c r="AM108" s="177" cm="1">
        <f t="array" ref="AM108">AWE*Res2I[[#This Row],[Adjusted Damage Index]]*Inputs!$C$38*Inputs!F$31+IF(Res2I[[#This Row],[Level (m)]]&gt;0,Cleanup,0)+VLOOKUP(Res2I[[#This Row],[Level (m)]],Relocation[],3,FALSE)</f>
        <v>103012.50926982785</v>
      </c>
    </row>
    <row r="109" spans="3:39" x14ac:dyDescent="0.3">
      <c r="M109" s="50">
        <v>3.6</v>
      </c>
      <c r="N109" s="176">
        <v>0.42833999999999994</v>
      </c>
      <c r="O109" s="176"/>
      <c r="P109" s="177" cm="1">
        <f t="array" ref="P109">AWE*Res2S[[#This Row],[Damage Index]]*Inputs!C$30*Inputs!C$25</f>
        <v>79574.538060781459</v>
      </c>
      <c r="Q109" s="177" cm="1">
        <f t="array" ref="Q109">AWE*Res2S[[#This Row],[Damage Index]]*Inputs!D$30*Inputs!D$25</f>
        <v>159149.07612156292</v>
      </c>
      <c r="R109" s="177" cm="1">
        <f t="array" ref="R109">AWE*Res2S[[#This Row],[Damage Index]]*Inputs!E$30*Inputs!E$25</f>
        <v>212198.7681620839</v>
      </c>
      <c r="S109" s="177" cm="1">
        <f t="array" ref="S109">AWE*Res2S[[#This Row],[Damage Index]]*Inputs!F$30*Inputs!F$25</f>
        <v>194515.53748191023</v>
      </c>
      <c r="AG109" s="50">
        <v>3.6</v>
      </c>
      <c r="AH109" s="176">
        <v>0.85079365079365088</v>
      </c>
      <c r="AI109" s="176" cm="1">
        <f t="array" ref="AI109">AWE*Res2I[[#This Row],[Damage Index]]*Actual_to_Potential</f>
        <v>0.79027772035007926</v>
      </c>
      <c r="AJ109" s="177" cm="1">
        <f t="array" ref="AJ109">AWE*Res2I[[#This Row],[Adjusted Damage Index]]*Inputs!$C$38*Inputs!C$31+IF(Res2I[[#This Row],[Level (m)]]&gt;0,Cleanup,0)+VLOOKUP(Res2I[[#This Row],[Level (m)]],Relocation[],3,FALSE)</f>
        <v>52369.244552139244</v>
      </c>
      <c r="AK109" s="177" cm="1">
        <f t="array" ref="AK109">AWE*Res2I[[#This Row],[Adjusted Damage Index]]*Inputs!$C$38*Inputs!D$31+IF(Res2I[[#This Row],[Level (m)]]&gt;0,Cleanup,0)+VLOOKUP(Res2I[[#This Row],[Level (m)]],Relocation[],3,FALSE)</f>
        <v>88338.489104278488</v>
      </c>
      <c r="AL109" s="177" cm="1">
        <f t="array" ref="AL109">AWE*Res2I[[#This Row],[Adjusted Damage Index]]*Inputs!$C$38*Inputs!E$31+IF(Res2I[[#This Row],[Level (m)]]&gt;0,Cleanup,0)+VLOOKUP(Res2I[[#This Row],[Level (m)]],Relocation[],3,FALSE)</f>
        <v>112317.98547237132</v>
      </c>
      <c r="AM109" s="177" cm="1">
        <f t="array" ref="AM109">AWE*Res2I[[#This Row],[Adjusted Damage Index]]*Inputs!$C$38*Inputs!F$31+IF(Res2I[[#This Row],[Level (m)]]&gt;0,Cleanup,0)+VLOOKUP(Res2I[[#This Row],[Level (m)]],Relocation[],3,FALSE)</f>
        <v>104324.82001634038</v>
      </c>
    </row>
    <row r="110" spans="3:39" x14ac:dyDescent="0.3">
      <c r="M110" s="50">
        <v>3.65</v>
      </c>
      <c r="N110" s="176">
        <v>0.4323412499999999</v>
      </c>
      <c r="O110" s="176"/>
      <c r="P110" s="177" cm="1">
        <f t="array" ref="P110">AWE*Res2S[[#This Row],[Damage Index]]*Inputs!C$30*Inputs!C$25</f>
        <v>80317.867239507948</v>
      </c>
      <c r="Q110" s="177" cm="1">
        <f t="array" ref="Q110">AWE*Res2S[[#This Row],[Damage Index]]*Inputs!D$30*Inputs!D$25</f>
        <v>160635.7344790159</v>
      </c>
      <c r="R110" s="177" cm="1">
        <f t="array" ref="R110">AWE*Res2S[[#This Row],[Damage Index]]*Inputs!E$30*Inputs!E$25</f>
        <v>214180.9793053545</v>
      </c>
      <c r="S110" s="177" cm="1">
        <f t="array" ref="S110">AWE*Res2S[[#This Row],[Damage Index]]*Inputs!F$30*Inputs!F$25</f>
        <v>196332.56436324163</v>
      </c>
      <c r="AG110" s="50">
        <v>3.65</v>
      </c>
      <c r="AH110" s="176">
        <v>0.86349206349206353</v>
      </c>
      <c r="AI110" s="176" cm="1">
        <f t="array" ref="AI110">AWE*Res2I[[#This Row],[Damage Index]]*Actual_to_Potential</f>
        <v>0.80207291020605054</v>
      </c>
      <c r="AJ110" s="177" cm="1">
        <f t="array" ref="AJ110">AWE*Res2I[[#This Row],[Adjusted Damage Index]]*Inputs!$C$38*Inputs!C$31+IF(Res2I[[#This Row],[Level (m)]]&gt;0,Cleanup,0)+VLOOKUP(Res2I[[#This Row],[Level (m)]],Relocation[],3,FALSE)</f>
        <v>52906.098948439831</v>
      </c>
      <c r="AK110" s="177" cm="1">
        <f t="array" ref="AK110">AWE*Res2I[[#This Row],[Adjusted Damage Index]]*Inputs!$C$38*Inputs!D$31+IF(Res2I[[#This Row],[Level (m)]]&gt;0,Cleanup,0)+VLOOKUP(Res2I[[#This Row],[Level (m)]],Relocation[],3,FALSE)</f>
        <v>89412.197896879661</v>
      </c>
      <c r="AL110" s="177" cm="1">
        <f t="array" ref="AL110">AWE*Res2I[[#This Row],[Adjusted Damage Index]]*Inputs!$C$38*Inputs!E$31+IF(Res2I[[#This Row],[Level (m)]]&gt;0,Cleanup,0)+VLOOKUP(Res2I[[#This Row],[Level (m)]],Relocation[],3,FALSE)</f>
        <v>113749.59719583955</v>
      </c>
      <c r="AM110" s="177" cm="1">
        <f t="array" ref="AM110">AWE*Res2I[[#This Row],[Adjusted Damage Index]]*Inputs!$C$38*Inputs!F$31+IF(Res2I[[#This Row],[Level (m)]]&gt;0,Cleanup,0)+VLOOKUP(Res2I[[#This Row],[Level (m)]],Relocation[],3,FALSE)</f>
        <v>105637.13076285292</v>
      </c>
    </row>
    <row r="111" spans="3:39" x14ac:dyDescent="0.3">
      <c r="M111" s="50">
        <v>3.7</v>
      </c>
      <c r="N111" s="176">
        <v>0.43634249999999991</v>
      </c>
      <c r="O111" s="176"/>
      <c r="P111" s="177" cm="1">
        <f t="array" ref="P111">AWE*Res2S[[#This Row],[Damage Index]]*Inputs!C$30*Inputs!C$25</f>
        <v>81061.196418234424</v>
      </c>
      <c r="Q111" s="177" cm="1">
        <f t="array" ref="Q111">AWE*Res2S[[#This Row],[Damage Index]]*Inputs!D$30*Inputs!D$25</f>
        <v>162122.39283646885</v>
      </c>
      <c r="R111" s="177" cm="1">
        <f t="array" ref="R111">AWE*Res2S[[#This Row],[Damage Index]]*Inputs!E$30*Inputs!E$25</f>
        <v>216163.19044862513</v>
      </c>
      <c r="S111" s="177" cm="1">
        <f t="array" ref="S111">AWE*Res2S[[#This Row],[Damage Index]]*Inputs!F$30*Inputs!F$25</f>
        <v>198149.59124457304</v>
      </c>
      <c r="AG111" s="50">
        <v>3.7</v>
      </c>
      <c r="AH111" s="176">
        <v>0.8761904761904763</v>
      </c>
      <c r="AI111" s="176" cm="1">
        <f t="array" ref="AI111">AWE*Res2I[[#This Row],[Damage Index]]*Actual_to_Potential</f>
        <v>0.81386810006202193</v>
      </c>
      <c r="AJ111" s="177" cm="1">
        <f t="array" ref="AJ111">AWE*Res2I[[#This Row],[Adjusted Damage Index]]*Inputs!$C$38*Inputs!C$31+IF(Res2I[[#This Row],[Level (m)]]&gt;0,Cleanup,0)+VLOOKUP(Res2I[[#This Row],[Level (m)]],Relocation[],3,FALSE)</f>
        <v>53442.953344740417</v>
      </c>
      <c r="AK111" s="177" cm="1">
        <f t="array" ref="AK111">AWE*Res2I[[#This Row],[Adjusted Damage Index]]*Inputs!$C$38*Inputs!D$31+IF(Res2I[[#This Row],[Level (m)]]&gt;0,Cleanup,0)+VLOOKUP(Res2I[[#This Row],[Level (m)]],Relocation[],3,FALSE)</f>
        <v>90485.906689480835</v>
      </c>
      <c r="AL111" s="177" cm="1">
        <f t="array" ref="AL111">AWE*Res2I[[#This Row],[Adjusted Damage Index]]*Inputs!$C$38*Inputs!E$31+IF(Res2I[[#This Row],[Level (m)]]&gt;0,Cleanup,0)+VLOOKUP(Res2I[[#This Row],[Level (m)]],Relocation[],3,FALSE)</f>
        <v>115181.20891930778</v>
      </c>
      <c r="AM111" s="177" cm="1">
        <f t="array" ref="AM111">AWE*Res2I[[#This Row],[Adjusted Damage Index]]*Inputs!$C$38*Inputs!F$31+IF(Res2I[[#This Row],[Level (m)]]&gt;0,Cleanup,0)+VLOOKUP(Res2I[[#This Row],[Level (m)]],Relocation[],3,FALSE)</f>
        <v>106949.44150936547</v>
      </c>
    </row>
    <row r="112" spans="3:39" x14ac:dyDescent="0.3">
      <c r="M112" s="50">
        <v>3.75</v>
      </c>
      <c r="N112" s="176">
        <v>0.44034374999999992</v>
      </c>
      <c r="O112" s="176"/>
      <c r="P112" s="177" cm="1">
        <f t="array" ref="P112">AWE*Res2S[[#This Row],[Damage Index]]*Inputs!C$30*Inputs!C$25</f>
        <v>81804.525596960913</v>
      </c>
      <c r="Q112" s="177" cm="1">
        <f t="array" ref="Q112">AWE*Res2S[[#This Row],[Damage Index]]*Inputs!D$30*Inputs!D$25</f>
        <v>163609.05119392183</v>
      </c>
      <c r="R112" s="177" cm="1">
        <f t="array" ref="R112">AWE*Res2S[[#This Row],[Damage Index]]*Inputs!E$30*Inputs!E$25</f>
        <v>218145.40159189576</v>
      </c>
      <c r="S112" s="177" cm="1">
        <f t="array" ref="S112">AWE*Res2S[[#This Row],[Damage Index]]*Inputs!F$30*Inputs!F$25</f>
        <v>199966.61812590444</v>
      </c>
      <c r="AG112" s="50">
        <v>3.75</v>
      </c>
      <c r="AH112" s="176">
        <v>0.88888888888888895</v>
      </c>
      <c r="AI112" s="176" cm="1">
        <f t="array" ref="AI112">AWE*Res2I[[#This Row],[Damage Index]]*Actual_to_Potential</f>
        <v>0.8256632899179932</v>
      </c>
      <c r="AJ112" s="177" cm="1">
        <f t="array" ref="AJ112">AWE*Res2I[[#This Row],[Adjusted Damage Index]]*Inputs!$C$38*Inputs!C$31+IF(Res2I[[#This Row],[Level (m)]]&gt;0,Cleanup,0)+VLOOKUP(Res2I[[#This Row],[Level (m)]],Relocation[],3,FALSE)</f>
        <v>53979.807741041004</v>
      </c>
      <c r="AK112" s="177" cm="1">
        <f t="array" ref="AK112">AWE*Res2I[[#This Row],[Adjusted Damage Index]]*Inputs!$C$38*Inputs!D$31+IF(Res2I[[#This Row],[Level (m)]]&gt;0,Cleanup,0)+VLOOKUP(Res2I[[#This Row],[Level (m)]],Relocation[],3,FALSE)</f>
        <v>91559.615482082008</v>
      </c>
      <c r="AL112" s="177" cm="1">
        <f t="array" ref="AL112">AWE*Res2I[[#This Row],[Adjusted Damage Index]]*Inputs!$C$38*Inputs!E$31+IF(Res2I[[#This Row],[Level (m)]]&gt;0,Cleanup,0)+VLOOKUP(Res2I[[#This Row],[Level (m)]],Relocation[],3,FALSE)</f>
        <v>116612.820642776</v>
      </c>
      <c r="AM112" s="177" cm="1">
        <f t="array" ref="AM112">AWE*Res2I[[#This Row],[Adjusted Damage Index]]*Inputs!$C$38*Inputs!F$31+IF(Res2I[[#This Row],[Level (m)]]&gt;0,Cleanup,0)+VLOOKUP(Res2I[[#This Row],[Level (m)]],Relocation[],3,FALSE)</f>
        <v>108261.752255878</v>
      </c>
    </row>
    <row r="113" spans="13:39" x14ac:dyDescent="0.3">
      <c r="M113" s="50">
        <v>3.8</v>
      </c>
      <c r="N113" s="176">
        <v>0.44434499999999988</v>
      </c>
      <c r="O113" s="176"/>
      <c r="P113" s="177" cm="1">
        <f t="array" ref="P113">AWE*Res2S[[#This Row],[Damage Index]]*Inputs!C$30*Inputs!C$25</f>
        <v>82547.854775687389</v>
      </c>
      <c r="Q113" s="177" cm="1">
        <f t="array" ref="Q113">AWE*Res2S[[#This Row],[Damage Index]]*Inputs!D$30*Inputs!D$25</f>
        <v>165095.70955137478</v>
      </c>
      <c r="R113" s="177" cm="1">
        <f t="array" ref="R113">AWE*Res2S[[#This Row],[Damage Index]]*Inputs!E$30*Inputs!E$25</f>
        <v>220127.61273516636</v>
      </c>
      <c r="S113" s="177" cm="1">
        <f t="array" ref="S113">AWE*Res2S[[#This Row],[Damage Index]]*Inputs!F$30*Inputs!F$25</f>
        <v>201783.64500723584</v>
      </c>
      <c r="AG113" s="50">
        <v>3.8</v>
      </c>
      <c r="AH113" s="176">
        <v>0.89735449735449735</v>
      </c>
      <c r="AI113" s="176" cm="1">
        <f t="array" ref="AI113">AWE*Res2I[[#This Row],[Damage Index]]*Actual_to_Potential</f>
        <v>0.83352674982197406</v>
      </c>
      <c r="AJ113" s="177" cm="1">
        <f t="array" ref="AJ113">AWE*Res2I[[#This Row],[Adjusted Damage Index]]*Inputs!$C$38*Inputs!C$31+IF(Res2I[[#This Row],[Level (m)]]&gt;0,Cleanup,0)+VLOOKUP(Res2I[[#This Row],[Level (m)]],Relocation[],3,FALSE)</f>
        <v>54337.710671908055</v>
      </c>
      <c r="AK113" s="177" cm="1">
        <f t="array" ref="AK113">AWE*Res2I[[#This Row],[Adjusted Damage Index]]*Inputs!$C$38*Inputs!D$31+IF(Res2I[[#This Row],[Level (m)]]&gt;0,Cleanup,0)+VLOOKUP(Res2I[[#This Row],[Level (m)]],Relocation[],3,FALSE)</f>
        <v>92275.42134381611</v>
      </c>
      <c r="AL113" s="177" cm="1">
        <f t="array" ref="AL113">AWE*Res2I[[#This Row],[Adjusted Damage Index]]*Inputs!$C$38*Inputs!E$31+IF(Res2I[[#This Row],[Level (m)]]&gt;0,Cleanup,0)+VLOOKUP(Res2I[[#This Row],[Level (m)]],Relocation[],3,FALSE)</f>
        <v>117567.22845842148</v>
      </c>
      <c r="AM113" s="177" cm="1">
        <f t="array" ref="AM113">AWE*Res2I[[#This Row],[Adjusted Damage Index]]*Inputs!$C$38*Inputs!F$31+IF(Res2I[[#This Row],[Level (m)]]&gt;0,Cleanup,0)+VLOOKUP(Res2I[[#This Row],[Level (m)]],Relocation[],3,FALSE)</f>
        <v>109136.62608688635</v>
      </c>
    </row>
    <row r="114" spans="13:39" x14ac:dyDescent="0.3">
      <c r="M114" s="50">
        <v>3.85</v>
      </c>
      <c r="N114" s="176">
        <v>0.44834624999999989</v>
      </c>
      <c r="O114" s="176"/>
      <c r="P114" s="177" cm="1">
        <f t="array" ref="P114">AWE*Res2S[[#This Row],[Damage Index]]*Inputs!C$30*Inputs!C$25</f>
        <v>83291.183954413864</v>
      </c>
      <c r="Q114" s="177" cm="1">
        <f t="array" ref="Q114">AWE*Res2S[[#This Row],[Damage Index]]*Inputs!D$30*Inputs!D$25</f>
        <v>166582.36790882773</v>
      </c>
      <c r="R114" s="177" cm="1">
        <f t="array" ref="R114">AWE*Res2S[[#This Row],[Damage Index]]*Inputs!E$30*Inputs!E$25</f>
        <v>222109.82387843696</v>
      </c>
      <c r="S114" s="177" cm="1">
        <f t="array" ref="S114">AWE*Res2S[[#This Row],[Damage Index]]*Inputs!F$30*Inputs!F$25</f>
        <v>203600.67188856725</v>
      </c>
      <c r="AG114" s="50">
        <v>3.85</v>
      </c>
      <c r="AH114" s="176">
        <v>0.90582010582010586</v>
      </c>
      <c r="AI114" s="176" cm="1">
        <f t="array" ref="AI114">AWE*Res2I[[#This Row],[Damage Index]]*Actual_to_Potential</f>
        <v>0.84139020972595502</v>
      </c>
      <c r="AJ114" s="177" cm="1">
        <f t="array" ref="AJ114">AWE*Res2I[[#This Row],[Adjusted Damage Index]]*Inputs!$C$38*Inputs!C$31+IF(Res2I[[#This Row],[Level (m)]]&gt;0,Cleanup,0)+VLOOKUP(Res2I[[#This Row],[Level (m)]],Relocation[],3,FALSE)</f>
        <v>54695.61360277512</v>
      </c>
      <c r="AK114" s="177" cm="1">
        <f t="array" ref="AK114">AWE*Res2I[[#This Row],[Adjusted Damage Index]]*Inputs!$C$38*Inputs!D$31+IF(Res2I[[#This Row],[Level (m)]]&gt;0,Cleanup,0)+VLOOKUP(Res2I[[#This Row],[Level (m)]],Relocation[],3,FALSE)</f>
        <v>92991.22720555024</v>
      </c>
      <c r="AL114" s="177" cm="1">
        <f t="array" ref="AL114">AWE*Res2I[[#This Row],[Adjusted Damage Index]]*Inputs!$C$38*Inputs!E$31+IF(Res2I[[#This Row],[Level (m)]]&gt;0,Cleanup,0)+VLOOKUP(Res2I[[#This Row],[Level (m)]],Relocation[],3,FALSE)</f>
        <v>118521.63627406699</v>
      </c>
      <c r="AM114" s="177" cm="1">
        <f t="array" ref="AM114">AWE*Res2I[[#This Row],[Adjusted Damage Index]]*Inputs!$C$38*Inputs!F$31+IF(Res2I[[#This Row],[Level (m)]]&gt;0,Cleanup,0)+VLOOKUP(Res2I[[#This Row],[Level (m)]],Relocation[],3,FALSE)</f>
        <v>110011.49991789473</v>
      </c>
    </row>
    <row r="115" spans="13:39" x14ac:dyDescent="0.3">
      <c r="M115" s="50">
        <v>3.9</v>
      </c>
      <c r="N115" s="176">
        <v>0.4523474999999999</v>
      </c>
      <c r="O115" s="176"/>
      <c r="P115" s="177" cm="1">
        <f t="array" ref="P115">AWE*Res2S[[#This Row],[Damage Index]]*Inputs!C$30*Inputs!C$25</f>
        <v>84034.513133140354</v>
      </c>
      <c r="Q115" s="177" cm="1">
        <f t="array" ref="Q115">AWE*Res2S[[#This Row],[Damage Index]]*Inputs!D$30*Inputs!D$25</f>
        <v>168069.02626628071</v>
      </c>
      <c r="R115" s="177" cm="1">
        <f t="array" ref="R115">AWE*Res2S[[#This Row],[Damage Index]]*Inputs!E$30*Inputs!E$25</f>
        <v>224092.03502170759</v>
      </c>
      <c r="S115" s="177" cm="1">
        <f t="array" ref="S115">AWE*Res2S[[#This Row],[Damage Index]]*Inputs!F$30*Inputs!F$25</f>
        <v>205417.69876989865</v>
      </c>
      <c r="AG115" s="50">
        <v>3.9</v>
      </c>
      <c r="AH115" s="176">
        <v>0.91428571428571426</v>
      </c>
      <c r="AI115" s="176" cm="1">
        <f t="array" ref="AI115">AWE*Res2I[[#This Row],[Damage Index]]*Actual_to_Potential</f>
        <v>0.84925366962993587</v>
      </c>
      <c r="AJ115" s="177" cm="1">
        <f t="array" ref="AJ115">AWE*Res2I[[#This Row],[Adjusted Damage Index]]*Inputs!$C$38*Inputs!C$31+IF(Res2I[[#This Row],[Level (m)]]&gt;0,Cleanup,0)+VLOOKUP(Res2I[[#This Row],[Level (m)]],Relocation[],3,FALSE)</f>
        <v>55053.516533642171</v>
      </c>
      <c r="AK115" s="177" cm="1">
        <f t="array" ref="AK115">AWE*Res2I[[#This Row],[Adjusted Damage Index]]*Inputs!$C$38*Inputs!D$31+IF(Res2I[[#This Row],[Level (m)]]&gt;0,Cleanup,0)+VLOOKUP(Res2I[[#This Row],[Level (m)]],Relocation[],3,FALSE)</f>
        <v>93707.033067284341</v>
      </c>
      <c r="AL115" s="177" cm="1">
        <f t="array" ref="AL115">AWE*Res2I[[#This Row],[Adjusted Damage Index]]*Inputs!$C$38*Inputs!E$31+IF(Res2I[[#This Row],[Level (m)]]&gt;0,Cleanup,0)+VLOOKUP(Res2I[[#This Row],[Level (m)]],Relocation[],3,FALSE)</f>
        <v>119476.04408971246</v>
      </c>
      <c r="AM115" s="177" cm="1">
        <f t="array" ref="AM115">AWE*Res2I[[#This Row],[Adjusted Damage Index]]*Inputs!$C$38*Inputs!F$31+IF(Res2I[[#This Row],[Level (m)]]&gt;0,Cleanup,0)+VLOOKUP(Res2I[[#This Row],[Level (m)]],Relocation[],3,FALSE)</f>
        <v>110886.37374890309</v>
      </c>
    </row>
    <row r="116" spans="13:39" x14ac:dyDescent="0.3">
      <c r="M116" s="50">
        <v>3.95</v>
      </c>
      <c r="N116" s="176">
        <v>0.45634874999999986</v>
      </c>
      <c r="O116" s="176"/>
      <c r="P116" s="177" cm="1">
        <f t="array" ref="P116">AWE*Res2S[[#This Row],[Damage Index]]*Inputs!C$30*Inputs!C$25</f>
        <v>84777.842311866829</v>
      </c>
      <c r="Q116" s="177" cm="1">
        <f t="array" ref="Q116">AWE*Res2S[[#This Row],[Damage Index]]*Inputs!D$30*Inputs!D$25</f>
        <v>169555.68462373366</v>
      </c>
      <c r="R116" s="177" cm="1">
        <f t="array" ref="R116">AWE*Res2S[[#This Row],[Damage Index]]*Inputs!E$30*Inputs!E$25</f>
        <v>226074.24616497822</v>
      </c>
      <c r="S116" s="177" cm="1">
        <f t="array" ref="S116">AWE*Res2S[[#This Row],[Damage Index]]*Inputs!F$30*Inputs!F$25</f>
        <v>207234.72565123002</v>
      </c>
      <c r="AG116" s="50">
        <v>3.95</v>
      </c>
      <c r="AH116" s="176">
        <v>0.92275132275132277</v>
      </c>
      <c r="AI116" s="176" cm="1">
        <f t="array" ref="AI116">AWE*Res2I[[#This Row],[Damage Index]]*Actual_to_Potential</f>
        <v>0.85711712953391672</v>
      </c>
      <c r="AJ116" s="177" cm="1">
        <f t="array" ref="AJ116">AWE*Res2I[[#This Row],[Adjusted Damage Index]]*Inputs!$C$38*Inputs!C$31+IF(Res2I[[#This Row],[Level (m)]]&gt;0,Cleanup,0)+VLOOKUP(Res2I[[#This Row],[Level (m)]],Relocation[],3,FALSE)</f>
        <v>55411.419464509228</v>
      </c>
      <c r="AK116" s="177" cm="1">
        <f t="array" ref="AK116">AWE*Res2I[[#This Row],[Adjusted Damage Index]]*Inputs!$C$38*Inputs!D$31+IF(Res2I[[#This Row],[Level (m)]]&gt;0,Cleanup,0)+VLOOKUP(Res2I[[#This Row],[Level (m)]],Relocation[],3,FALSE)</f>
        <v>94422.838929018457</v>
      </c>
      <c r="AL116" s="177" cm="1">
        <f t="array" ref="AL116">AWE*Res2I[[#This Row],[Adjusted Damage Index]]*Inputs!$C$38*Inputs!E$31+IF(Res2I[[#This Row],[Level (m)]]&gt;0,Cleanup,0)+VLOOKUP(Res2I[[#This Row],[Level (m)]],Relocation[],3,FALSE)</f>
        <v>120430.45190535794</v>
      </c>
      <c r="AM116" s="177" cm="1">
        <f t="array" ref="AM116">AWE*Res2I[[#This Row],[Adjusted Damage Index]]*Inputs!$C$38*Inputs!F$31+IF(Res2I[[#This Row],[Level (m)]]&gt;0,Cleanup,0)+VLOOKUP(Res2I[[#This Row],[Level (m)]],Relocation[],3,FALSE)</f>
        <v>111761.24757991145</v>
      </c>
    </row>
    <row r="117" spans="13:39" x14ac:dyDescent="0.3">
      <c r="M117" s="50">
        <v>4</v>
      </c>
      <c r="N117" s="176">
        <v>0.46034999999999987</v>
      </c>
      <c r="O117" s="176"/>
      <c r="P117" s="177" cm="1">
        <f t="array" ref="P117">AWE*Res2S[[#This Row],[Damage Index]]*Inputs!C$30*Inputs!C$25</f>
        <v>85521.171490593304</v>
      </c>
      <c r="Q117" s="177" cm="1">
        <f t="array" ref="Q117">AWE*Res2S[[#This Row],[Damage Index]]*Inputs!D$30*Inputs!D$25</f>
        <v>171042.34298118661</v>
      </c>
      <c r="R117" s="177" cm="1">
        <f t="array" ref="R117">AWE*Res2S[[#This Row],[Damage Index]]*Inputs!E$30*Inputs!E$25</f>
        <v>228056.45730824885</v>
      </c>
      <c r="S117" s="177" cm="1">
        <f t="array" ref="S117">AWE*Res2S[[#This Row],[Damage Index]]*Inputs!F$30*Inputs!F$25</f>
        <v>209051.75253256143</v>
      </c>
      <c r="AG117" s="50">
        <v>4</v>
      </c>
      <c r="AH117" s="176">
        <v>0.93121693121693117</v>
      </c>
      <c r="AI117" s="176" cm="1">
        <f t="array" ref="AI117">AWE*Res2I[[#This Row],[Damage Index]]*Actual_to_Potential</f>
        <v>0.86498058943789757</v>
      </c>
      <c r="AJ117" s="177" cm="1">
        <f t="array" ref="AJ117">AWE*Res2I[[#This Row],[Adjusted Damage Index]]*Inputs!$C$38*Inputs!C$31+IF(Res2I[[#This Row],[Level (m)]]&gt;0,Cleanup,0)+VLOOKUP(Res2I[[#This Row],[Level (m)]],Relocation[],3,FALSE)</f>
        <v>55769.322395376286</v>
      </c>
      <c r="AK117" s="177" cm="1">
        <f t="array" ref="AK117">AWE*Res2I[[#This Row],[Adjusted Damage Index]]*Inputs!$C$38*Inputs!D$31+IF(Res2I[[#This Row],[Level (m)]]&gt;0,Cleanup,0)+VLOOKUP(Res2I[[#This Row],[Level (m)]],Relocation[],3,FALSE)</f>
        <v>95138.644790752573</v>
      </c>
      <c r="AL117" s="177" cm="1">
        <f t="array" ref="AL117">AWE*Res2I[[#This Row],[Adjusted Damage Index]]*Inputs!$C$38*Inputs!E$31+IF(Res2I[[#This Row],[Level (m)]]&gt;0,Cleanup,0)+VLOOKUP(Res2I[[#This Row],[Level (m)]],Relocation[],3,FALSE)</f>
        <v>121384.85972100342</v>
      </c>
      <c r="AM117" s="177" cm="1">
        <f t="array" ref="AM117">AWE*Res2I[[#This Row],[Adjusted Damage Index]]*Inputs!$C$38*Inputs!F$31+IF(Res2I[[#This Row],[Level (m)]]&gt;0,Cleanup,0)+VLOOKUP(Res2I[[#This Row],[Level (m)]],Relocation[],3,FALSE)</f>
        <v>112636.1214109198</v>
      </c>
    </row>
    <row r="118" spans="13:39" x14ac:dyDescent="0.3">
      <c r="M118" s="50">
        <v>4.05</v>
      </c>
      <c r="N118" s="176">
        <v>0.46034999999999987</v>
      </c>
      <c r="O118" s="176"/>
      <c r="P118" s="177" cm="1">
        <f t="array" ref="P118">AWE*Res2S[[#This Row],[Damage Index]]*Inputs!C$30*Inputs!C$25</f>
        <v>85521.171490593304</v>
      </c>
      <c r="Q118" s="177" cm="1">
        <f t="array" ref="Q118">AWE*Res2S[[#This Row],[Damage Index]]*Inputs!D$30*Inputs!D$25</f>
        <v>171042.34298118661</v>
      </c>
      <c r="R118" s="177" cm="1">
        <f t="array" ref="R118">AWE*Res2S[[#This Row],[Damage Index]]*Inputs!E$30*Inputs!E$25</f>
        <v>228056.45730824885</v>
      </c>
      <c r="S118" s="177" cm="1">
        <f t="array" ref="S118">AWE*Res2S[[#This Row],[Damage Index]]*Inputs!F$30*Inputs!F$25</f>
        <v>209051.75253256143</v>
      </c>
      <c r="AG118" s="50">
        <v>4.05</v>
      </c>
      <c r="AH118" s="176">
        <v>0.93439153439153433</v>
      </c>
      <c r="AI118" s="176" cm="1">
        <f t="array" ref="AI118">AWE*Res2I[[#This Row],[Damage Index]]*Actual_to_Potential</f>
        <v>0.86792938690189048</v>
      </c>
      <c r="AJ118" s="177" cm="1">
        <f t="array" ref="AJ118">AWE*Res2I[[#This Row],[Adjusted Damage Index]]*Inputs!$C$38*Inputs!C$31+IF(Res2I[[#This Row],[Level (m)]]&gt;0,Cleanup,0)+VLOOKUP(Res2I[[#This Row],[Level (m)]],Relocation[],3,FALSE)</f>
        <v>55903.535994451435</v>
      </c>
      <c r="AK118" s="177" cm="1">
        <f t="array" ref="AK118">AWE*Res2I[[#This Row],[Adjusted Damage Index]]*Inputs!$C$38*Inputs!D$31+IF(Res2I[[#This Row],[Level (m)]]&gt;0,Cleanup,0)+VLOOKUP(Res2I[[#This Row],[Level (m)]],Relocation[],3,FALSE)</f>
        <v>95407.07198890287</v>
      </c>
      <c r="AL118" s="177" cm="1">
        <f t="array" ref="AL118">AWE*Res2I[[#This Row],[Adjusted Damage Index]]*Inputs!$C$38*Inputs!E$31+IF(Res2I[[#This Row],[Level (m)]]&gt;0,Cleanup,0)+VLOOKUP(Res2I[[#This Row],[Level (m)]],Relocation[],3,FALSE)</f>
        <v>121742.76265187049</v>
      </c>
      <c r="AM118" s="177" cm="1">
        <f t="array" ref="AM118">AWE*Res2I[[#This Row],[Adjusted Damage Index]]*Inputs!$C$38*Inputs!F$31+IF(Res2I[[#This Row],[Level (m)]]&gt;0,Cleanup,0)+VLOOKUP(Res2I[[#This Row],[Level (m)]],Relocation[],3,FALSE)</f>
        <v>112964.19909754794</v>
      </c>
    </row>
    <row r="119" spans="13:39" x14ac:dyDescent="0.3">
      <c r="M119" s="50">
        <v>4.0999999999999996</v>
      </c>
      <c r="N119" s="176">
        <v>0.46034999999999987</v>
      </c>
      <c r="O119" s="176"/>
      <c r="P119" s="177" cm="1">
        <f t="array" ref="P119">AWE*Res2S[[#This Row],[Damage Index]]*Inputs!C$30*Inputs!C$25</f>
        <v>85521.171490593304</v>
      </c>
      <c r="Q119" s="177" cm="1">
        <f t="array" ref="Q119">AWE*Res2S[[#This Row],[Damage Index]]*Inputs!D$30*Inputs!D$25</f>
        <v>171042.34298118661</v>
      </c>
      <c r="R119" s="177" cm="1">
        <f t="array" ref="R119">AWE*Res2S[[#This Row],[Damage Index]]*Inputs!E$30*Inputs!E$25</f>
        <v>228056.45730824885</v>
      </c>
      <c r="S119" s="177" cm="1">
        <f t="array" ref="S119">AWE*Res2S[[#This Row],[Damage Index]]*Inputs!F$30*Inputs!F$25</f>
        <v>209051.75253256143</v>
      </c>
      <c r="AG119" s="50">
        <v>4.0999999999999996</v>
      </c>
      <c r="AH119" s="176">
        <v>0.93756613756613749</v>
      </c>
      <c r="AI119" s="176" cm="1">
        <f t="array" ref="AI119">AWE*Res2I[[#This Row],[Damage Index]]*Actual_to_Potential</f>
        <v>0.87087818436588327</v>
      </c>
      <c r="AJ119" s="177" cm="1">
        <f t="array" ref="AJ119">AWE*Res2I[[#This Row],[Adjusted Damage Index]]*Inputs!$C$38*Inputs!C$31+IF(Res2I[[#This Row],[Level (m)]]&gt;0,Cleanup,0)+VLOOKUP(Res2I[[#This Row],[Level (m)]],Relocation[],3,FALSE)</f>
        <v>56037.749593526576</v>
      </c>
      <c r="AK119" s="177" cm="1">
        <f t="array" ref="AK119">AWE*Res2I[[#This Row],[Adjusted Damage Index]]*Inputs!$C$38*Inputs!D$31+IF(Res2I[[#This Row],[Level (m)]]&gt;0,Cleanup,0)+VLOOKUP(Res2I[[#This Row],[Level (m)]],Relocation[],3,FALSE)</f>
        <v>95675.499187053152</v>
      </c>
      <c r="AL119" s="177" cm="1">
        <f t="array" ref="AL119">AWE*Res2I[[#This Row],[Adjusted Damage Index]]*Inputs!$C$38*Inputs!E$31+IF(Res2I[[#This Row],[Level (m)]]&gt;0,Cleanup,0)+VLOOKUP(Res2I[[#This Row],[Level (m)]],Relocation[],3,FALSE)</f>
        <v>122100.66558273754</v>
      </c>
      <c r="AM119" s="177" cm="1">
        <f t="array" ref="AM119">AWE*Res2I[[#This Row],[Adjusted Damage Index]]*Inputs!$C$38*Inputs!F$31+IF(Res2I[[#This Row],[Level (m)]]&gt;0,Cleanup,0)+VLOOKUP(Res2I[[#This Row],[Level (m)]],Relocation[],3,FALSE)</f>
        <v>113292.27678417608</v>
      </c>
    </row>
    <row r="120" spans="13:39" x14ac:dyDescent="0.3">
      <c r="M120" s="50">
        <v>4.1500000000000004</v>
      </c>
      <c r="N120" s="176">
        <v>0.46034999999999987</v>
      </c>
      <c r="O120" s="176"/>
      <c r="P120" s="177" cm="1">
        <f t="array" ref="P120">AWE*Res2S[[#This Row],[Damage Index]]*Inputs!C$30*Inputs!C$25</f>
        <v>85521.171490593304</v>
      </c>
      <c r="Q120" s="177" cm="1">
        <f t="array" ref="Q120">AWE*Res2S[[#This Row],[Damage Index]]*Inputs!D$30*Inputs!D$25</f>
        <v>171042.34298118661</v>
      </c>
      <c r="R120" s="177" cm="1">
        <f t="array" ref="R120">AWE*Res2S[[#This Row],[Damage Index]]*Inputs!E$30*Inputs!E$25</f>
        <v>228056.45730824885</v>
      </c>
      <c r="S120" s="177" cm="1">
        <f t="array" ref="S120">AWE*Res2S[[#This Row],[Damage Index]]*Inputs!F$30*Inputs!F$25</f>
        <v>209051.75253256143</v>
      </c>
      <c r="AG120" s="50">
        <v>4.1500000000000004</v>
      </c>
      <c r="AH120" s="176">
        <v>0.94074074074074077</v>
      </c>
      <c r="AI120" s="176" cm="1">
        <f t="array" ref="AI120">AWE*Res2I[[#This Row],[Damage Index]]*Actual_to_Potential</f>
        <v>0.87382698182987617</v>
      </c>
      <c r="AJ120" s="177" cm="1">
        <f t="array" ref="AJ120">AWE*Res2I[[#This Row],[Adjusted Damage Index]]*Inputs!$C$38*Inputs!C$31+IF(Res2I[[#This Row],[Level (m)]]&gt;0,Cleanup,0)+VLOOKUP(Res2I[[#This Row],[Level (m)]],Relocation[],3,FALSE)</f>
        <v>56171.963192601725</v>
      </c>
      <c r="AK120" s="177" cm="1">
        <f t="array" ref="AK120">AWE*Res2I[[#This Row],[Adjusted Damage Index]]*Inputs!$C$38*Inputs!D$31+IF(Res2I[[#This Row],[Level (m)]]&gt;0,Cleanup,0)+VLOOKUP(Res2I[[#This Row],[Level (m)]],Relocation[],3,FALSE)</f>
        <v>95943.926385203449</v>
      </c>
      <c r="AL120" s="177" cm="1">
        <f t="array" ref="AL120">AWE*Res2I[[#This Row],[Adjusted Damage Index]]*Inputs!$C$38*Inputs!E$31+IF(Res2I[[#This Row],[Level (m)]]&gt;0,Cleanup,0)+VLOOKUP(Res2I[[#This Row],[Level (m)]],Relocation[],3,FALSE)</f>
        <v>122458.56851360459</v>
      </c>
      <c r="AM120" s="177" cm="1">
        <f t="array" ref="AM120">AWE*Res2I[[#This Row],[Adjusted Damage Index]]*Inputs!$C$38*Inputs!F$31+IF(Res2I[[#This Row],[Level (m)]]&gt;0,Cleanup,0)+VLOOKUP(Res2I[[#This Row],[Level (m)]],Relocation[],3,FALSE)</f>
        <v>113620.35447080422</v>
      </c>
    </row>
    <row r="121" spans="13:39" x14ac:dyDescent="0.3">
      <c r="M121" s="50">
        <v>4.2</v>
      </c>
      <c r="N121" s="176">
        <v>0.46034999999999987</v>
      </c>
      <c r="O121" s="176"/>
      <c r="P121" s="177" cm="1">
        <f t="array" ref="P121">AWE*Res2S[[#This Row],[Damage Index]]*Inputs!C$30*Inputs!C$25</f>
        <v>85521.171490593304</v>
      </c>
      <c r="Q121" s="177" cm="1">
        <f t="array" ref="Q121">AWE*Res2S[[#This Row],[Damage Index]]*Inputs!D$30*Inputs!D$25</f>
        <v>171042.34298118661</v>
      </c>
      <c r="R121" s="177" cm="1">
        <f t="array" ref="R121">AWE*Res2S[[#This Row],[Damage Index]]*Inputs!E$30*Inputs!E$25</f>
        <v>228056.45730824885</v>
      </c>
      <c r="S121" s="177" cm="1">
        <f t="array" ref="S121">AWE*Res2S[[#This Row],[Damage Index]]*Inputs!F$30*Inputs!F$25</f>
        <v>209051.75253256143</v>
      </c>
      <c r="AG121" s="50">
        <v>4.2</v>
      </c>
      <c r="AH121" s="176">
        <v>0.94391534391534393</v>
      </c>
      <c r="AI121" s="176" cm="1">
        <f t="array" ref="AI121">AWE*Res2I[[#This Row],[Damage Index]]*Actual_to_Potential</f>
        <v>0.87677577929386896</v>
      </c>
      <c r="AJ121" s="177" cm="1">
        <f t="array" ref="AJ121">AWE*Res2I[[#This Row],[Adjusted Damage Index]]*Inputs!$C$38*Inputs!C$31+IF(Res2I[[#This Row],[Level (m)]]&gt;0,Cleanup,0)+VLOOKUP(Res2I[[#This Row],[Level (m)]],Relocation[],3,FALSE)</f>
        <v>56306.176791676866</v>
      </c>
      <c r="AK121" s="177" cm="1">
        <f t="array" ref="AK121">AWE*Res2I[[#This Row],[Adjusted Damage Index]]*Inputs!$C$38*Inputs!D$31+IF(Res2I[[#This Row],[Level (m)]]&gt;0,Cleanup,0)+VLOOKUP(Res2I[[#This Row],[Level (m)]],Relocation[],3,FALSE)</f>
        <v>96212.353583353732</v>
      </c>
      <c r="AL121" s="177" cm="1">
        <f t="array" ref="AL121">AWE*Res2I[[#This Row],[Adjusted Damage Index]]*Inputs!$C$38*Inputs!E$31+IF(Res2I[[#This Row],[Level (m)]]&gt;0,Cleanup,0)+VLOOKUP(Res2I[[#This Row],[Level (m)]],Relocation[],3,FALSE)</f>
        <v>122816.47144447165</v>
      </c>
      <c r="AM121" s="177" cm="1">
        <f t="array" ref="AM121">AWE*Res2I[[#This Row],[Adjusted Damage Index]]*Inputs!$C$38*Inputs!F$31+IF(Res2I[[#This Row],[Level (m)]]&gt;0,Cleanup,0)+VLOOKUP(Res2I[[#This Row],[Level (m)]],Relocation[],3,FALSE)</f>
        <v>113948.43215743234</v>
      </c>
    </row>
    <row r="122" spans="13:39" x14ac:dyDescent="0.3">
      <c r="M122" s="50">
        <v>4.25</v>
      </c>
      <c r="N122" s="176">
        <v>0.46034999999999987</v>
      </c>
      <c r="O122" s="176"/>
      <c r="P122" s="177" cm="1">
        <f t="array" ref="P122">AWE*Res2S[[#This Row],[Damage Index]]*Inputs!C$30*Inputs!C$25</f>
        <v>85521.171490593304</v>
      </c>
      <c r="Q122" s="177" cm="1">
        <f t="array" ref="Q122">AWE*Res2S[[#This Row],[Damage Index]]*Inputs!D$30*Inputs!D$25</f>
        <v>171042.34298118661</v>
      </c>
      <c r="R122" s="177" cm="1">
        <f t="array" ref="R122">AWE*Res2S[[#This Row],[Damage Index]]*Inputs!E$30*Inputs!E$25</f>
        <v>228056.45730824885</v>
      </c>
      <c r="S122" s="177" cm="1">
        <f t="array" ref="S122">AWE*Res2S[[#This Row],[Damage Index]]*Inputs!F$30*Inputs!F$25</f>
        <v>209051.75253256143</v>
      </c>
      <c r="AG122" s="50">
        <v>4.25</v>
      </c>
      <c r="AH122" s="176">
        <v>0.94708994708994709</v>
      </c>
      <c r="AI122" s="176" cm="1">
        <f t="array" ref="AI122">AWE*Res2I[[#This Row],[Damage Index]]*Actual_to_Potential</f>
        <v>0.87972457675786186</v>
      </c>
      <c r="AJ122" s="177" cm="1">
        <f t="array" ref="AJ122">AWE*Res2I[[#This Row],[Adjusted Damage Index]]*Inputs!$C$38*Inputs!C$31+IF(Res2I[[#This Row],[Level (m)]]&gt;0,Cleanup,0)+VLOOKUP(Res2I[[#This Row],[Level (m)]],Relocation[],3,FALSE)</f>
        <v>56440.390390752022</v>
      </c>
      <c r="AK122" s="177" cm="1">
        <f t="array" ref="AK122">AWE*Res2I[[#This Row],[Adjusted Damage Index]]*Inputs!$C$38*Inputs!D$31+IF(Res2I[[#This Row],[Level (m)]]&gt;0,Cleanup,0)+VLOOKUP(Res2I[[#This Row],[Level (m)]],Relocation[],3,FALSE)</f>
        <v>96480.780781504043</v>
      </c>
      <c r="AL122" s="177" cm="1">
        <f t="array" ref="AL122">AWE*Res2I[[#This Row],[Adjusted Damage Index]]*Inputs!$C$38*Inputs!E$31+IF(Res2I[[#This Row],[Level (m)]]&gt;0,Cleanup,0)+VLOOKUP(Res2I[[#This Row],[Level (m)]],Relocation[],3,FALSE)</f>
        <v>123174.37437533872</v>
      </c>
      <c r="AM122" s="177" cm="1">
        <f t="array" ref="AM122">AWE*Res2I[[#This Row],[Adjusted Damage Index]]*Inputs!$C$38*Inputs!F$31+IF(Res2I[[#This Row],[Level (m)]]&gt;0,Cleanup,0)+VLOOKUP(Res2I[[#This Row],[Level (m)]],Relocation[],3,FALSE)</f>
        <v>114276.50984406049</v>
      </c>
    </row>
    <row r="123" spans="13:39" x14ac:dyDescent="0.3">
      <c r="M123" s="50">
        <v>4.3</v>
      </c>
      <c r="N123" s="176">
        <v>0.46034999999999987</v>
      </c>
      <c r="O123" s="176"/>
      <c r="P123" s="177" cm="1">
        <f t="array" ref="P123">AWE*Res2S[[#This Row],[Damage Index]]*Inputs!C$30*Inputs!C$25</f>
        <v>85521.171490593304</v>
      </c>
      <c r="Q123" s="177" cm="1">
        <f t="array" ref="Q123">AWE*Res2S[[#This Row],[Damage Index]]*Inputs!D$30*Inputs!D$25</f>
        <v>171042.34298118661</v>
      </c>
      <c r="R123" s="177" cm="1">
        <f t="array" ref="R123">AWE*Res2S[[#This Row],[Damage Index]]*Inputs!E$30*Inputs!E$25</f>
        <v>228056.45730824885</v>
      </c>
      <c r="S123" s="177" cm="1">
        <f t="array" ref="S123">AWE*Res2S[[#This Row],[Damage Index]]*Inputs!F$30*Inputs!F$25</f>
        <v>209051.75253256143</v>
      </c>
      <c r="AG123" s="50">
        <v>4.3</v>
      </c>
      <c r="AH123" s="176">
        <v>0.94920634920634928</v>
      </c>
      <c r="AI123" s="176" cm="1">
        <f t="array" ref="AI123">AWE*Res2I[[#This Row],[Damage Index]]*Actual_to_Potential</f>
        <v>0.88169044173385702</v>
      </c>
      <c r="AJ123" s="177" cm="1">
        <f t="array" ref="AJ123">AWE*Res2I[[#This Row],[Adjusted Damage Index]]*Inputs!$C$38*Inputs!C$31+IF(Res2I[[#This Row],[Level (m)]]&gt;0,Cleanup,0)+VLOOKUP(Res2I[[#This Row],[Level (m)]],Relocation[],3,FALSE)</f>
        <v>56529.866123468782</v>
      </c>
      <c r="AK123" s="177" cm="1">
        <f t="array" ref="AK123">AWE*Res2I[[#This Row],[Adjusted Damage Index]]*Inputs!$C$38*Inputs!D$31+IF(Res2I[[#This Row],[Level (m)]]&gt;0,Cleanup,0)+VLOOKUP(Res2I[[#This Row],[Level (m)]],Relocation[],3,FALSE)</f>
        <v>96659.732246937565</v>
      </c>
      <c r="AL123" s="177" cm="1">
        <f t="array" ref="AL123">AWE*Res2I[[#This Row],[Adjusted Damage Index]]*Inputs!$C$38*Inputs!E$31+IF(Res2I[[#This Row],[Level (m)]]&gt;0,Cleanup,0)+VLOOKUP(Res2I[[#This Row],[Level (m)]],Relocation[],3,FALSE)</f>
        <v>123412.9763292501</v>
      </c>
      <c r="AM123" s="177" cm="1">
        <f t="array" ref="AM123">AWE*Res2I[[#This Row],[Adjusted Damage Index]]*Inputs!$C$38*Inputs!F$31+IF(Res2I[[#This Row],[Level (m)]]&gt;0,Cleanup,0)+VLOOKUP(Res2I[[#This Row],[Level (m)]],Relocation[],3,FALSE)</f>
        <v>114495.22830181259</v>
      </c>
    </row>
    <row r="124" spans="13:39" x14ac:dyDescent="0.3">
      <c r="M124" s="50">
        <v>4.3499999999999996</v>
      </c>
      <c r="N124" s="176">
        <v>0.46034999999999987</v>
      </c>
      <c r="O124" s="176"/>
      <c r="P124" s="177" cm="1">
        <f t="array" ref="P124">AWE*Res2S[[#This Row],[Damage Index]]*Inputs!C$30*Inputs!C$25</f>
        <v>85521.171490593304</v>
      </c>
      <c r="Q124" s="177" cm="1">
        <f t="array" ref="Q124">AWE*Res2S[[#This Row],[Damage Index]]*Inputs!D$30*Inputs!D$25</f>
        <v>171042.34298118661</v>
      </c>
      <c r="R124" s="177" cm="1">
        <f t="array" ref="R124">AWE*Res2S[[#This Row],[Damage Index]]*Inputs!E$30*Inputs!E$25</f>
        <v>228056.45730824885</v>
      </c>
      <c r="S124" s="177" cm="1">
        <f t="array" ref="S124">AWE*Res2S[[#This Row],[Damage Index]]*Inputs!F$30*Inputs!F$25</f>
        <v>209051.75253256143</v>
      </c>
      <c r="AG124" s="50">
        <v>4.3499999999999996</v>
      </c>
      <c r="AH124" s="176">
        <v>0.95132275132275135</v>
      </c>
      <c r="AI124" s="176" cm="1">
        <f t="array" ref="AI124">AWE*Res2I[[#This Row],[Damage Index]]*Actual_to_Potential</f>
        <v>0.88365630670985229</v>
      </c>
      <c r="AJ124" s="177" cm="1">
        <f t="array" ref="AJ124">AWE*Res2I[[#This Row],[Adjusted Damage Index]]*Inputs!$C$38*Inputs!C$31+IF(Res2I[[#This Row],[Level (m)]]&gt;0,Cleanup,0)+VLOOKUP(Res2I[[#This Row],[Level (m)]],Relocation[],3,FALSE)</f>
        <v>56619.341856185551</v>
      </c>
      <c r="AK124" s="177" cm="1">
        <f t="array" ref="AK124">AWE*Res2I[[#This Row],[Adjusted Damage Index]]*Inputs!$C$38*Inputs!D$31+IF(Res2I[[#This Row],[Level (m)]]&gt;0,Cleanup,0)+VLOOKUP(Res2I[[#This Row],[Level (m)]],Relocation[],3,FALSE)</f>
        <v>96838.683712371101</v>
      </c>
      <c r="AL124" s="177" cm="1">
        <f t="array" ref="AL124">AWE*Res2I[[#This Row],[Adjusted Damage Index]]*Inputs!$C$38*Inputs!E$31+IF(Res2I[[#This Row],[Level (m)]]&gt;0,Cleanup,0)+VLOOKUP(Res2I[[#This Row],[Level (m)]],Relocation[],3,FALSE)</f>
        <v>123651.57828316146</v>
      </c>
      <c r="AM124" s="177" cm="1">
        <f t="array" ref="AM124">AWE*Res2I[[#This Row],[Adjusted Damage Index]]*Inputs!$C$38*Inputs!F$31+IF(Res2I[[#This Row],[Level (m)]]&gt;0,Cleanup,0)+VLOOKUP(Res2I[[#This Row],[Level (m)]],Relocation[],3,FALSE)</f>
        <v>114713.94675956467</v>
      </c>
    </row>
    <row r="125" spans="13:39" x14ac:dyDescent="0.3">
      <c r="M125" s="50">
        <v>4.4000000000000004</v>
      </c>
      <c r="N125" s="176">
        <v>0.46034999999999987</v>
      </c>
      <c r="O125" s="176"/>
      <c r="P125" s="177" cm="1">
        <f t="array" ref="P125">AWE*Res2S[[#This Row],[Damage Index]]*Inputs!C$30*Inputs!C$25</f>
        <v>85521.171490593304</v>
      </c>
      <c r="Q125" s="177" cm="1">
        <f t="array" ref="Q125">AWE*Res2S[[#This Row],[Damage Index]]*Inputs!D$30*Inputs!D$25</f>
        <v>171042.34298118661</v>
      </c>
      <c r="R125" s="177" cm="1">
        <f t="array" ref="R125">AWE*Res2S[[#This Row],[Damage Index]]*Inputs!E$30*Inputs!E$25</f>
        <v>228056.45730824885</v>
      </c>
      <c r="S125" s="177" cm="1">
        <f t="array" ref="S125">AWE*Res2S[[#This Row],[Damage Index]]*Inputs!F$30*Inputs!F$25</f>
        <v>209051.75253256143</v>
      </c>
      <c r="AG125" s="50">
        <v>4.4000000000000004</v>
      </c>
      <c r="AH125" s="176">
        <v>0.95343915343915353</v>
      </c>
      <c r="AI125" s="176" cm="1">
        <f t="array" ref="AI125">AWE*Res2I[[#This Row],[Damage Index]]*Actual_to_Potential</f>
        <v>0.88562217168584756</v>
      </c>
      <c r="AJ125" s="177" cm="1">
        <f t="array" ref="AJ125">AWE*Res2I[[#This Row],[Adjusted Damage Index]]*Inputs!$C$38*Inputs!C$31+IF(Res2I[[#This Row],[Level (m)]]&gt;0,Cleanup,0)+VLOOKUP(Res2I[[#This Row],[Level (m)]],Relocation[],3,FALSE)</f>
        <v>56708.817588902311</v>
      </c>
      <c r="AK125" s="177" cm="1">
        <f t="array" ref="AK125">AWE*Res2I[[#This Row],[Adjusted Damage Index]]*Inputs!$C$38*Inputs!D$31+IF(Res2I[[#This Row],[Level (m)]]&gt;0,Cleanup,0)+VLOOKUP(Res2I[[#This Row],[Level (m)]],Relocation[],3,FALSE)</f>
        <v>97017.635177804623</v>
      </c>
      <c r="AL125" s="177" cm="1">
        <f t="array" ref="AL125">AWE*Res2I[[#This Row],[Adjusted Damage Index]]*Inputs!$C$38*Inputs!E$31+IF(Res2I[[#This Row],[Level (m)]]&gt;0,Cleanup,0)+VLOOKUP(Res2I[[#This Row],[Level (m)]],Relocation[],3,FALSE)</f>
        <v>123890.18023707284</v>
      </c>
      <c r="AM125" s="177" cm="1">
        <f t="array" ref="AM125">AWE*Res2I[[#This Row],[Adjusted Damage Index]]*Inputs!$C$38*Inputs!F$31+IF(Res2I[[#This Row],[Level (m)]]&gt;0,Cleanup,0)+VLOOKUP(Res2I[[#This Row],[Level (m)]],Relocation[],3,FALSE)</f>
        <v>114932.66521731677</v>
      </c>
    </row>
    <row r="126" spans="13:39" x14ac:dyDescent="0.3">
      <c r="M126" s="50">
        <v>4.45</v>
      </c>
      <c r="N126" s="176">
        <v>0.46034999999999987</v>
      </c>
      <c r="O126" s="176"/>
      <c r="P126" s="177" cm="1">
        <f t="array" ref="P126">AWE*Res2S[[#This Row],[Damage Index]]*Inputs!C$30*Inputs!C$25</f>
        <v>85521.171490593304</v>
      </c>
      <c r="Q126" s="177" cm="1">
        <f t="array" ref="Q126">AWE*Res2S[[#This Row],[Damage Index]]*Inputs!D$30*Inputs!D$25</f>
        <v>171042.34298118661</v>
      </c>
      <c r="R126" s="177" cm="1">
        <f t="array" ref="R126">AWE*Res2S[[#This Row],[Damage Index]]*Inputs!E$30*Inputs!E$25</f>
        <v>228056.45730824885</v>
      </c>
      <c r="S126" s="177" cm="1">
        <f t="array" ref="S126">AWE*Res2S[[#This Row],[Damage Index]]*Inputs!F$30*Inputs!F$25</f>
        <v>209051.75253256143</v>
      </c>
      <c r="AG126" s="50">
        <v>4.45</v>
      </c>
      <c r="AH126" s="176">
        <v>0.9555555555555556</v>
      </c>
      <c r="AI126" s="176" cm="1">
        <f t="array" ref="AI126">AWE*Res2I[[#This Row],[Damage Index]]*Actual_to_Potential</f>
        <v>0.88758803666184283</v>
      </c>
      <c r="AJ126" s="177" cm="1">
        <f t="array" ref="AJ126">AWE*Res2I[[#This Row],[Adjusted Damage Index]]*Inputs!$C$38*Inputs!C$31+IF(Res2I[[#This Row],[Level (m)]]&gt;0,Cleanup,0)+VLOOKUP(Res2I[[#This Row],[Level (m)]],Relocation[],3,FALSE)</f>
        <v>56798.29332161908</v>
      </c>
      <c r="AK126" s="177" cm="1">
        <f t="array" ref="AK126">AWE*Res2I[[#This Row],[Adjusted Damage Index]]*Inputs!$C$38*Inputs!D$31+IF(Res2I[[#This Row],[Level (m)]]&gt;0,Cleanup,0)+VLOOKUP(Res2I[[#This Row],[Level (m)]],Relocation[],3,FALSE)</f>
        <v>97196.586643238159</v>
      </c>
      <c r="AL126" s="177" cm="1">
        <f t="array" ref="AL126">AWE*Res2I[[#This Row],[Adjusted Damage Index]]*Inputs!$C$38*Inputs!E$31+IF(Res2I[[#This Row],[Level (m)]]&gt;0,Cleanup,0)+VLOOKUP(Res2I[[#This Row],[Level (m)]],Relocation[],3,FALSE)</f>
        <v>124128.78219098422</v>
      </c>
      <c r="AM126" s="177" cm="1">
        <f t="array" ref="AM126">AWE*Res2I[[#This Row],[Adjusted Damage Index]]*Inputs!$C$38*Inputs!F$31+IF(Res2I[[#This Row],[Level (m)]]&gt;0,Cleanup,0)+VLOOKUP(Res2I[[#This Row],[Level (m)]],Relocation[],3,FALSE)</f>
        <v>115151.38367506886</v>
      </c>
    </row>
    <row r="127" spans="13:39" x14ac:dyDescent="0.3">
      <c r="M127" s="50">
        <v>4.5</v>
      </c>
      <c r="N127" s="176">
        <v>0.46034999999999987</v>
      </c>
      <c r="O127" s="176"/>
      <c r="P127" s="177" cm="1">
        <f t="array" ref="P127">AWE*Res2S[[#This Row],[Damage Index]]*Inputs!C$30*Inputs!C$25</f>
        <v>85521.171490593304</v>
      </c>
      <c r="Q127" s="177" cm="1">
        <f t="array" ref="Q127">AWE*Res2S[[#This Row],[Damage Index]]*Inputs!D$30*Inputs!D$25</f>
        <v>171042.34298118661</v>
      </c>
      <c r="R127" s="177" cm="1">
        <f t="array" ref="R127">AWE*Res2S[[#This Row],[Damage Index]]*Inputs!E$30*Inputs!E$25</f>
        <v>228056.45730824885</v>
      </c>
      <c r="S127" s="177" cm="1">
        <f t="array" ref="S127">AWE*Res2S[[#This Row],[Damage Index]]*Inputs!F$30*Inputs!F$25</f>
        <v>209051.75253256143</v>
      </c>
      <c r="AG127" s="50">
        <v>4.5</v>
      </c>
      <c r="AH127" s="176">
        <v>0.95767195767195779</v>
      </c>
      <c r="AI127" s="176" cm="1">
        <f t="array" ref="AI127">AWE*Res2I[[#This Row],[Damage Index]]*Actual_to_Potential</f>
        <v>0.88955390163783798</v>
      </c>
      <c r="AJ127" s="177" cm="1">
        <f t="array" ref="AJ127">AWE*Res2I[[#This Row],[Adjusted Damage Index]]*Inputs!$C$38*Inputs!C$31+IF(Res2I[[#This Row],[Level (m)]]&gt;0,Cleanup,0)+VLOOKUP(Res2I[[#This Row],[Level (m)]],Relocation[],3,FALSE)</f>
        <v>56887.76905433584</v>
      </c>
      <c r="AK127" s="177" cm="1">
        <f t="array" ref="AK127">AWE*Res2I[[#This Row],[Adjusted Damage Index]]*Inputs!$C$38*Inputs!D$31+IF(Res2I[[#This Row],[Level (m)]]&gt;0,Cleanup,0)+VLOOKUP(Res2I[[#This Row],[Level (m)]],Relocation[],3,FALSE)</f>
        <v>97375.538108671681</v>
      </c>
      <c r="AL127" s="177" cm="1">
        <f t="array" ref="AL127">AWE*Res2I[[#This Row],[Adjusted Damage Index]]*Inputs!$C$38*Inputs!E$31+IF(Res2I[[#This Row],[Level (m)]]&gt;0,Cleanup,0)+VLOOKUP(Res2I[[#This Row],[Level (m)]],Relocation[],3,FALSE)</f>
        <v>124367.38414489558</v>
      </c>
      <c r="AM127" s="177" cm="1">
        <f t="array" ref="AM127">AWE*Res2I[[#This Row],[Adjusted Damage Index]]*Inputs!$C$38*Inputs!F$31+IF(Res2I[[#This Row],[Level (m)]]&gt;0,Cleanup,0)+VLOOKUP(Res2I[[#This Row],[Level (m)]],Relocation[],3,FALSE)</f>
        <v>115370.10213282095</v>
      </c>
    </row>
    <row r="128" spans="13:39" x14ac:dyDescent="0.3">
      <c r="M128" s="50">
        <v>4.55</v>
      </c>
      <c r="N128" s="176">
        <v>0.46034999999999987</v>
      </c>
      <c r="O128" s="176"/>
      <c r="P128" s="177" cm="1">
        <f t="array" ref="P128">AWE*Res2S[[#This Row],[Damage Index]]*Inputs!C$30*Inputs!C$25</f>
        <v>85521.171490593304</v>
      </c>
      <c r="Q128" s="177" cm="1">
        <f t="array" ref="Q128">AWE*Res2S[[#This Row],[Damage Index]]*Inputs!D$30*Inputs!D$25</f>
        <v>171042.34298118661</v>
      </c>
      <c r="R128" s="177" cm="1">
        <f t="array" ref="R128">AWE*Res2S[[#This Row],[Damage Index]]*Inputs!E$30*Inputs!E$25</f>
        <v>228056.45730824885</v>
      </c>
      <c r="S128" s="177" cm="1">
        <f t="array" ref="S128">AWE*Res2S[[#This Row],[Damage Index]]*Inputs!F$30*Inputs!F$25</f>
        <v>209051.75253256143</v>
      </c>
      <c r="AG128" s="50">
        <v>4.55</v>
      </c>
      <c r="AH128" s="176">
        <v>0.96084656084656095</v>
      </c>
      <c r="AI128" s="176" cm="1">
        <f t="array" ref="AI128">AWE*Res2I[[#This Row],[Damage Index]]*Actual_to_Potential</f>
        <v>0.89250269910183089</v>
      </c>
      <c r="AJ128" s="177" cm="1">
        <f t="array" ref="AJ128">AWE*Res2I[[#This Row],[Adjusted Damage Index]]*Inputs!$C$38*Inputs!C$31+IF(Res2I[[#This Row],[Level (m)]]&gt;0,Cleanup,0)+VLOOKUP(Res2I[[#This Row],[Level (m)]],Relocation[],3,FALSE)</f>
        <v>57021.982653410989</v>
      </c>
      <c r="AK128" s="177" cm="1">
        <f t="array" ref="AK128">AWE*Res2I[[#This Row],[Adjusted Damage Index]]*Inputs!$C$38*Inputs!D$31+IF(Res2I[[#This Row],[Level (m)]]&gt;0,Cleanup,0)+VLOOKUP(Res2I[[#This Row],[Level (m)]],Relocation[],3,FALSE)</f>
        <v>97643.965306821978</v>
      </c>
      <c r="AL128" s="177" cm="1">
        <f t="array" ref="AL128">AWE*Res2I[[#This Row],[Adjusted Damage Index]]*Inputs!$C$38*Inputs!E$31+IF(Res2I[[#This Row],[Level (m)]]&gt;0,Cleanup,0)+VLOOKUP(Res2I[[#This Row],[Level (m)]],Relocation[],3,FALSE)</f>
        <v>124725.28707576264</v>
      </c>
      <c r="AM128" s="177" cm="1">
        <f t="array" ref="AM128">AWE*Res2I[[#This Row],[Adjusted Damage Index]]*Inputs!$C$38*Inputs!F$31+IF(Res2I[[#This Row],[Level (m)]]&gt;0,Cleanup,0)+VLOOKUP(Res2I[[#This Row],[Level (m)]],Relocation[],3,FALSE)</f>
        <v>115698.17981944908</v>
      </c>
    </row>
    <row r="129" spans="13:39" x14ac:dyDescent="0.3">
      <c r="M129" s="50">
        <v>4.5999999999999996</v>
      </c>
      <c r="N129" s="176">
        <v>0.46034999999999987</v>
      </c>
      <c r="O129" s="176"/>
      <c r="P129" s="177" cm="1">
        <f t="array" ref="P129">AWE*Res2S[[#This Row],[Damage Index]]*Inputs!C$30*Inputs!C$25</f>
        <v>85521.171490593304</v>
      </c>
      <c r="Q129" s="177" cm="1">
        <f t="array" ref="Q129">AWE*Res2S[[#This Row],[Damage Index]]*Inputs!D$30*Inputs!D$25</f>
        <v>171042.34298118661</v>
      </c>
      <c r="R129" s="177" cm="1">
        <f t="array" ref="R129">AWE*Res2S[[#This Row],[Damage Index]]*Inputs!E$30*Inputs!E$25</f>
        <v>228056.45730824885</v>
      </c>
      <c r="S129" s="177" cm="1">
        <f t="array" ref="S129">AWE*Res2S[[#This Row],[Damage Index]]*Inputs!F$30*Inputs!F$25</f>
        <v>209051.75253256143</v>
      </c>
      <c r="AG129" s="50">
        <v>4.5999999999999996</v>
      </c>
      <c r="AH129" s="176">
        <v>0.96402116402116411</v>
      </c>
      <c r="AI129" s="176" cm="1">
        <f t="array" ref="AI129">AWE*Res2I[[#This Row],[Damage Index]]*Actual_to_Potential</f>
        <v>0.89545149656582368</v>
      </c>
      <c r="AJ129" s="177" cm="1">
        <f t="array" ref="AJ129">AWE*Res2I[[#This Row],[Adjusted Damage Index]]*Inputs!$C$38*Inputs!C$31+IF(Res2I[[#This Row],[Level (m)]]&gt;0,Cleanup,0)+VLOOKUP(Res2I[[#This Row],[Level (m)]],Relocation[],3,FALSE)</f>
        <v>57156.196252486137</v>
      </c>
      <c r="AK129" s="177" cm="1">
        <f t="array" ref="AK129">AWE*Res2I[[#This Row],[Adjusted Damage Index]]*Inputs!$C$38*Inputs!D$31+IF(Res2I[[#This Row],[Level (m)]]&gt;0,Cleanup,0)+VLOOKUP(Res2I[[#This Row],[Level (m)]],Relocation[],3,FALSE)</f>
        <v>97912.392504972275</v>
      </c>
      <c r="AL129" s="177" cm="1">
        <f t="array" ref="AL129">AWE*Res2I[[#This Row],[Adjusted Damage Index]]*Inputs!$C$38*Inputs!E$31+IF(Res2I[[#This Row],[Level (m)]]&gt;0,Cleanup,0)+VLOOKUP(Res2I[[#This Row],[Level (m)]],Relocation[],3,FALSE)</f>
        <v>125083.19000662971</v>
      </c>
      <c r="AM129" s="177" cm="1">
        <f t="array" ref="AM129">AWE*Res2I[[#This Row],[Adjusted Damage Index]]*Inputs!$C$38*Inputs!F$31+IF(Res2I[[#This Row],[Level (m)]]&gt;0,Cleanup,0)+VLOOKUP(Res2I[[#This Row],[Level (m)]],Relocation[],3,FALSE)</f>
        <v>116026.25750607722</v>
      </c>
    </row>
    <row r="130" spans="13:39" x14ac:dyDescent="0.3">
      <c r="M130" s="50">
        <v>4.6500000000000004</v>
      </c>
      <c r="N130" s="176">
        <v>0.46034999999999987</v>
      </c>
      <c r="O130" s="176"/>
      <c r="P130" s="177" cm="1">
        <f t="array" ref="P130">AWE*Res2S[[#This Row],[Damage Index]]*Inputs!C$30*Inputs!C$25</f>
        <v>85521.171490593304</v>
      </c>
      <c r="Q130" s="177" cm="1">
        <f t="array" ref="Q130">AWE*Res2S[[#This Row],[Damage Index]]*Inputs!D$30*Inputs!D$25</f>
        <v>171042.34298118661</v>
      </c>
      <c r="R130" s="177" cm="1">
        <f t="array" ref="R130">AWE*Res2S[[#This Row],[Damage Index]]*Inputs!E$30*Inputs!E$25</f>
        <v>228056.45730824885</v>
      </c>
      <c r="S130" s="177" cm="1">
        <f t="array" ref="S130">AWE*Res2S[[#This Row],[Damage Index]]*Inputs!F$30*Inputs!F$25</f>
        <v>209051.75253256143</v>
      </c>
      <c r="AG130" s="50">
        <v>4.6500000000000004</v>
      </c>
      <c r="AH130" s="176">
        <v>0.96719576719576728</v>
      </c>
      <c r="AI130" s="176" cm="1">
        <f t="array" ref="AI130">AWE*Res2I[[#This Row],[Damage Index]]*Actual_to_Potential</f>
        <v>0.89840029402981647</v>
      </c>
      <c r="AJ130" s="177" cm="1">
        <f t="array" ref="AJ130">AWE*Res2I[[#This Row],[Adjusted Damage Index]]*Inputs!$C$38*Inputs!C$31+IF(Res2I[[#This Row],[Level (m)]]&gt;0,Cleanup,0)+VLOOKUP(Res2I[[#This Row],[Level (m)]],Relocation[],3,FALSE)</f>
        <v>57290.409851561279</v>
      </c>
      <c r="AK130" s="177" cm="1">
        <f t="array" ref="AK130">AWE*Res2I[[#This Row],[Adjusted Damage Index]]*Inputs!$C$38*Inputs!D$31+IF(Res2I[[#This Row],[Level (m)]]&gt;0,Cleanup,0)+VLOOKUP(Res2I[[#This Row],[Level (m)]],Relocation[],3,FALSE)</f>
        <v>98180.819703122557</v>
      </c>
      <c r="AL130" s="177" cm="1">
        <f t="array" ref="AL130">AWE*Res2I[[#This Row],[Adjusted Damage Index]]*Inputs!$C$38*Inputs!E$31+IF(Res2I[[#This Row],[Level (m)]]&gt;0,Cleanup,0)+VLOOKUP(Res2I[[#This Row],[Level (m)]],Relocation[],3,FALSE)</f>
        <v>125441.09293749675</v>
      </c>
      <c r="AM130" s="177" cm="1">
        <f t="array" ref="AM130">AWE*Res2I[[#This Row],[Adjusted Damage Index]]*Inputs!$C$38*Inputs!F$31+IF(Res2I[[#This Row],[Level (m)]]&gt;0,Cleanup,0)+VLOOKUP(Res2I[[#This Row],[Level (m)]],Relocation[],3,FALSE)</f>
        <v>116354.33519270536</v>
      </c>
    </row>
    <row r="131" spans="13:39" x14ac:dyDescent="0.3">
      <c r="M131" s="50">
        <v>4.7</v>
      </c>
      <c r="N131" s="176">
        <v>0.46034999999999987</v>
      </c>
      <c r="O131" s="176"/>
      <c r="P131" s="177" cm="1">
        <f t="array" ref="P131">AWE*Res2S[[#This Row],[Damage Index]]*Inputs!C$30*Inputs!C$25</f>
        <v>85521.171490593304</v>
      </c>
      <c r="Q131" s="177" cm="1">
        <f t="array" ref="Q131">AWE*Res2S[[#This Row],[Damage Index]]*Inputs!D$30*Inputs!D$25</f>
        <v>171042.34298118661</v>
      </c>
      <c r="R131" s="177" cm="1">
        <f t="array" ref="R131">AWE*Res2S[[#This Row],[Damage Index]]*Inputs!E$30*Inputs!E$25</f>
        <v>228056.45730824885</v>
      </c>
      <c r="S131" s="177" cm="1">
        <f t="array" ref="S131">AWE*Res2S[[#This Row],[Damage Index]]*Inputs!F$30*Inputs!F$25</f>
        <v>209051.75253256143</v>
      </c>
      <c r="AG131" s="50">
        <v>4.7</v>
      </c>
      <c r="AH131" s="176">
        <v>0.97037037037037044</v>
      </c>
      <c r="AI131" s="176" cm="1">
        <f t="array" ref="AI131">AWE*Res2I[[#This Row],[Damage Index]]*Actual_to_Potential</f>
        <v>0.90134909149380937</v>
      </c>
      <c r="AJ131" s="177" cm="1">
        <f t="array" ref="AJ131">AWE*Res2I[[#This Row],[Adjusted Damage Index]]*Inputs!$C$38*Inputs!C$31+IF(Res2I[[#This Row],[Level (m)]]&gt;0,Cleanup,0)+VLOOKUP(Res2I[[#This Row],[Level (m)]],Relocation[],3,FALSE)</f>
        <v>57424.623450636427</v>
      </c>
      <c r="AK131" s="177" cm="1">
        <f t="array" ref="AK131">AWE*Res2I[[#This Row],[Adjusted Damage Index]]*Inputs!$C$38*Inputs!D$31+IF(Res2I[[#This Row],[Level (m)]]&gt;0,Cleanup,0)+VLOOKUP(Res2I[[#This Row],[Level (m)]],Relocation[],3,FALSE)</f>
        <v>98449.246901272854</v>
      </c>
      <c r="AL131" s="177" cm="1">
        <f t="array" ref="AL131">AWE*Res2I[[#This Row],[Adjusted Damage Index]]*Inputs!$C$38*Inputs!E$31+IF(Res2I[[#This Row],[Level (m)]]&gt;0,Cleanup,0)+VLOOKUP(Res2I[[#This Row],[Level (m)]],Relocation[],3,FALSE)</f>
        <v>125798.99586836381</v>
      </c>
      <c r="AM131" s="177" cm="1">
        <f t="array" ref="AM131">AWE*Res2I[[#This Row],[Adjusted Damage Index]]*Inputs!$C$38*Inputs!F$31+IF(Res2I[[#This Row],[Level (m)]]&gt;0,Cleanup,0)+VLOOKUP(Res2I[[#This Row],[Level (m)]],Relocation[],3,FALSE)</f>
        <v>116682.4128793335</v>
      </c>
    </row>
    <row r="132" spans="13:39" x14ac:dyDescent="0.3">
      <c r="M132" s="50">
        <v>4.75</v>
      </c>
      <c r="N132" s="176">
        <v>0.46034999999999987</v>
      </c>
      <c r="O132" s="176"/>
      <c r="P132" s="177" cm="1">
        <f t="array" ref="P132">AWE*Res2S[[#This Row],[Damage Index]]*Inputs!C$30*Inputs!C$25</f>
        <v>85521.171490593304</v>
      </c>
      <c r="Q132" s="177" cm="1">
        <f t="array" ref="Q132">AWE*Res2S[[#This Row],[Damage Index]]*Inputs!D$30*Inputs!D$25</f>
        <v>171042.34298118661</v>
      </c>
      <c r="R132" s="177" cm="1">
        <f t="array" ref="R132">AWE*Res2S[[#This Row],[Damage Index]]*Inputs!E$30*Inputs!E$25</f>
        <v>228056.45730824885</v>
      </c>
      <c r="S132" s="177" cm="1">
        <f t="array" ref="S132">AWE*Res2S[[#This Row],[Damage Index]]*Inputs!F$30*Inputs!F$25</f>
        <v>209051.75253256143</v>
      </c>
      <c r="AG132" s="50">
        <v>4.75</v>
      </c>
      <c r="AH132" s="176">
        <v>0.9735449735449736</v>
      </c>
      <c r="AI132" s="176" cm="1">
        <f t="array" ref="AI132">AWE*Res2I[[#This Row],[Damage Index]]*Actual_to_Potential</f>
        <v>0.90429788895780217</v>
      </c>
      <c r="AJ132" s="177" cm="1">
        <f t="array" ref="AJ132">AWE*Res2I[[#This Row],[Adjusted Damage Index]]*Inputs!$C$38*Inputs!C$31+IF(Res2I[[#This Row],[Level (m)]]&gt;0,Cleanup,0)+VLOOKUP(Res2I[[#This Row],[Level (m)]],Relocation[],3,FALSE)</f>
        <v>57558.837049711576</v>
      </c>
      <c r="AK132" s="177" cm="1">
        <f t="array" ref="AK132">AWE*Res2I[[#This Row],[Adjusted Damage Index]]*Inputs!$C$38*Inputs!D$31+IF(Res2I[[#This Row],[Level (m)]]&gt;0,Cleanup,0)+VLOOKUP(Res2I[[#This Row],[Level (m)]],Relocation[],3,FALSE)</f>
        <v>98717.674099423151</v>
      </c>
      <c r="AL132" s="177" cm="1">
        <f t="array" ref="AL132">AWE*Res2I[[#This Row],[Adjusted Damage Index]]*Inputs!$C$38*Inputs!E$31+IF(Res2I[[#This Row],[Level (m)]]&gt;0,Cleanup,0)+VLOOKUP(Res2I[[#This Row],[Level (m)]],Relocation[],3,FALSE)</f>
        <v>126156.89879923087</v>
      </c>
      <c r="AM132" s="177" cm="1">
        <f t="array" ref="AM132">AWE*Res2I[[#This Row],[Adjusted Damage Index]]*Inputs!$C$38*Inputs!F$31+IF(Res2I[[#This Row],[Level (m)]]&gt;0,Cleanup,0)+VLOOKUP(Res2I[[#This Row],[Level (m)]],Relocation[],3,FALSE)</f>
        <v>117010.49056596162</v>
      </c>
    </row>
    <row r="133" spans="13:39" x14ac:dyDescent="0.3">
      <c r="M133" s="50">
        <v>4.8</v>
      </c>
      <c r="N133" s="176">
        <v>0.46034999999999987</v>
      </c>
      <c r="O133" s="176"/>
      <c r="P133" s="177" cm="1">
        <f t="array" ref="P133">AWE*Res2S[[#This Row],[Damage Index]]*Inputs!C$30*Inputs!C$25</f>
        <v>85521.171490593304</v>
      </c>
      <c r="Q133" s="177" cm="1">
        <f t="array" ref="Q133">AWE*Res2S[[#This Row],[Damage Index]]*Inputs!D$30*Inputs!D$25</f>
        <v>171042.34298118661</v>
      </c>
      <c r="R133" s="177" cm="1">
        <f t="array" ref="R133">AWE*Res2S[[#This Row],[Damage Index]]*Inputs!E$30*Inputs!E$25</f>
        <v>228056.45730824885</v>
      </c>
      <c r="S133" s="177" cm="1">
        <f t="array" ref="S133">AWE*Res2S[[#This Row],[Damage Index]]*Inputs!F$30*Inputs!F$25</f>
        <v>209051.75253256143</v>
      </c>
      <c r="AG133" s="50">
        <v>4.8</v>
      </c>
      <c r="AH133" s="176">
        <v>0.97566137566137567</v>
      </c>
      <c r="AI133" s="176" cm="1">
        <f t="array" ref="AI133">AWE*Res2I[[#This Row],[Damage Index]]*Actual_to_Potential</f>
        <v>0.90626375393379732</v>
      </c>
      <c r="AJ133" s="177" cm="1">
        <f t="array" ref="AJ133">AWE*Res2I[[#This Row],[Adjusted Damage Index]]*Inputs!$C$38*Inputs!C$31+IF(Res2I[[#This Row],[Level (m)]]&gt;0,Cleanup,0)+VLOOKUP(Res2I[[#This Row],[Level (m)]],Relocation[],3,FALSE)</f>
        <v>57648.312782428337</v>
      </c>
      <c r="AK133" s="177" cm="1">
        <f t="array" ref="AK133">AWE*Res2I[[#This Row],[Adjusted Damage Index]]*Inputs!$C$38*Inputs!D$31+IF(Res2I[[#This Row],[Level (m)]]&gt;0,Cleanup,0)+VLOOKUP(Res2I[[#This Row],[Level (m)]],Relocation[],3,FALSE)</f>
        <v>98896.625564856673</v>
      </c>
      <c r="AL133" s="177" cm="1">
        <f t="array" ref="AL133">AWE*Res2I[[#This Row],[Adjusted Damage Index]]*Inputs!$C$38*Inputs!E$31+IF(Res2I[[#This Row],[Level (m)]]&gt;0,Cleanup,0)+VLOOKUP(Res2I[[#This Row],[Level (m)]],Relocation[],3,FALSE)</f>
        <v>126395.50075314223</v>
      </c>
      <c r="AM133" s="177" cm="1">
        <f t="array" ref="AM133">AWE*Res2I[[#This Row],[Adjusted Damage Index]]*Inputs!$C$38*Inputs!F$31+IF(Res2I[[#This Row],[Level (m)]]&gt;0,Cleanup,0)+VLOOKUP(Res2I[[#This Row],[Level (m)]],Relocation[],3,FALSE)</f>
        <v>117229.20902371372</v>
      </c>
    </row>
    <row r="134" spans="13:39" x14ac:dyDescent="0.3">
      <c r="M134" s="50">
        <v>4.8499999999999996</v>
      </c>
      <c r="N134" s="176">
        <v>0.46034999999999987</v>
      </c>
      <c r="O134" s="176"/>
      <c r="P134" s="177" cm="1">
        <f t="array" ref="P134">AWE*Res2S[[#This Row],[Damage Index]]*Inputs!C$30*Inputs!C$25</f>
        <v>85521.171490593304</v>
      </c>
      <c r="Q134" s="177" cm="1">
        <f t="array" ref="Q134">AWE*Res2S[[#This Row],[Damage Index]]*Inputs!D$30*Inputs!D$25</f>
        <v>171042.34298118661</v>
      </c>
      <c r="R134" s="177" cm="1">
        <f t="array" ref="R134">AWE*Res2S[[#This Row],[Damage Index]]*Inputs!E$30*Inputs!E$25</f>
        <v>228056.45730824885</v>
      </c>
      <c r="S134" s="177" cm="1">
        <f t="array" ref="S134">AWE*Res2S[[#This Row],[Damage Index]]*Inputs!F$30*Inputs!F$25</f>
        <v>209051.75253256143</v>
      </c>
      <c r="AG134" s="50">
        <v>4.8499999999999996</v>
      </c>
      <c r="AH134" s="176">
        <v>0.97777777777777786</v>
      </c>
      <c r="AI134" s="176" cm="1">
        <f t="array" ref="AI134">AWE*Res2I[[#This Row],[Damage Index]]*Actual_to_Potential</f>
        <v>0.90822961890979259</v>
      </c>
      <c r="AJ134" s="177" cm="1">
        <f t="array" ref="AJ134">AWE*Res2I[[#This Row],[Adjusted Damage Index]]*Inputs!$C$38*Inputs!C$31+IF(Res2I[[#This Row],[Level (m)]]&gt;0,Cleanup,0)+VLOOKUP(Res2I[[#This Row],[Level (m)]],Relocation[],3,FALSE)</f>
        <v>57737.788515145105</v>
      </c>
      <c r="AK134" s="177" cm="1">
        <f t="array" ref="AK134">AWE*Res2I[[#This Row],[Adjusted Damage Index]]*Inputs!$C$38*Inputs!D$31+IF(Res2I[[#This Row],[Level (m)]]&gt;0,Cleanup,0)+VLOOKUP(Res2I[[#This Row],[Level (m)]],Relocation[],3,FALSE)</f>
        <v>99075.577030290209</v>
      </c>
      <c r="AL134" s="177" cm="1">
        <f t="array" ref="AL134">AWE*Res2I[[#This Row],[Adjusted Damage Index]]*Inputs!$C$38*Inputs!E$31+IF(Res2I[[#This Row],[Level (m)]]&gt;0,Cleanup,0)+VLOOKUP(Res2I[[#This Row],[Level (m)]],Relocation[],3,FALSE)</f>
        <v>126634.10270705361</v>
      </c>
      <c r="AM134" s="177" cm="1">
        <f t="array" ref="AM134">AWE*Res2I[[#This Row],[Adjusted Damage Index]]*Inputs!$C$38*Inputs!F$31+IF(Res2I[[#This Row],[Level (m)]]&gt;0,Cleanup,0)+VLOOKUP(Res2I[[#This Row],[Level (m)]],Relocation[],3,FALSE)</f>
        <v>117447.9274814658</v>
      </c>
    </row>
    <row r="135" spans="13:39" x14ac:dyDescent="0.3">
      <c r="M135" s="50">
        <v>4.9000000000000004</v>
      </c>
      <c r="N135" s="176">
        <v>0.46034999999999987</v>
      </c>
      <c r="O135" s="176"/>
      <c r="P135" s="177" cm="1">
        <f t="array" ref="P135">AWE*Res2S[[#This Row],[Damage Index]]*Inputs!C$30*Inputs!C$25</f>
        <v>85521.171490593304</v>
      </c>
      <c r="Q135" s="177" cm="1">
        <f t="array" ref="Q135">AWE*Res2S[[#This Row],[Damage Index]]*Inputs!D$30*Inputs!D$25</f>
        <v>171042.34298118661</v>
      </c>
      <c r="R135" s="177" cm="1">
        <f t="array" ref="R135">AWE*Res2S[[#This Row],[Damage Index]]*Inputs!E$30*Inputs!E$25</f>
        <v>228056.45730824885</v>
      </c>
      <c r="S135" s="177" cm="1">
        <f t="array" ref="S135">AWE*Res2S[[#This Row],[Damage Index]]*Inputs!F$30*Inputs!F$25</f>
        <v>209051.75253256143</v>
      </c>
      <c r="AG135" s="50">
        <v>4.9000000000000004</v>
      </c>
      <c r="AH135" s="176">
        <v>0.97989417989417993</v>
      </c>
      <c r="AI135" s="176" cm="1">
        <f t="array" ref="AI135">AWE*Res2I[[#This Row],[Damage Index]]*Actual_to_Potential</f>
        <v>0.91019548388578775</v>
      </c>
      <c r="AJ135" s="177" cm="1">
        <f t="array" ref="AJ135">AWE*Res2I[[#This Row],[Adjusted Damage Index]]*Inputs!$C$38*Inputs!C$31+IF(Res2I[[#This Row],[Level (m)]]&gt;0,Cleanup,0)+VLOOKUP(Res2I[[#This Row],[Level (m)]],Relocation[],3,FALSE)</f>
        <v>57827.264247861865</v>
      </c>
      <c r="AK135" s="177" cm="1">
        <f t="array" ref="AK135">AWE*Res2I[[#This Row],[Adjusted Damage Index]]*Inputs!$C$38*Inputs!D$31+IF(Res2I[[#This Row],[Level (m)]]&gt;0,Cleanup,0)+VLOOKUP(Res2I[[#This Row],[Level (m)]],Relocation[],3,FALSE)</f>
        <v>99254.528495723731</v>
      </c>
      <c r="AL135" s="177" cm="1">
        <f t="array" ref="AL135">AWE*Res2I[[#This Row],[Adjusted Damage Index]]*Inputs!$C$38*Inputs!E$31+IF(Res2I[[#This Row],[Level (m)]]&gt;0,Cleanup,0)+VLOOKUP(Res2I[[#This Row],[Level (m)]],Relocation[],3,FALSE)</f>
        <v>126872.70466096497</v>
      </c>
      <c r="AM135" s="177" cm="1">
        <f t="array" ref="AM135">AWE*Res2I[[#This Row],[Adjusted Damage Index]]*Inputs!$C$38*Inputs!F$31+IF(Res2I[[#This Row],[Level (m)]]&gt;0,Cleanup,0)+VLOOKUP(Res2I[[#This Row],[Level (m)]],Relocation[],3,FALSE)</f>
        <v>117666.64593921789</v>
      </c>
    </row>
    <row r="136" spans="13:39" x14ac:dyDescent="0.3">
      <c r="M136" s="50">
        <v>4.95</v>
      </c>
      <c r="N136" s="176">
        <v>0.46034999999999987</v>
      </c>
      <c r="O136" s="176"/>
      <c r="P136" s="177" cm="1">
        <f t="array" ref="P136">AWE*Res2S[[#This Row],[Damage Index]]*Inputs!C$30*Inputs!C$25</f>
        <v>85521.171490593304</v>
      </c>
      <c r="Q136" s="177" cm="1">
        <f t="array" ref="Q136">AWE*Res2S[[#This Row],[Damage Index]]*Inputs!D$30*Inputs!D$25</f>
        <v>171042.34298118661</v>
      </c>
      <c r="R136" s="177" cm="1">
        <f t="array" ref="R136">AWE*Res2S[[#This Row],[Damage Index]]*Inputs!E$30*Inputs!E$25</f>
        <v>228056.45730824885</v>
      </c>
      <c r="S136" s="177" cm="1">
        <f t="array" ref="S136">AWE*Res2S[[#This Row],[Damage Index]]*Inputs!F$30*Inputs!F$25</f>
        <v>209051.75253256143</v>
      </c>
      <c r="AG136" s="50">
        <v>4.95</v>
      </c>
      <c r="AH136" s="176">
        <v>0.98201058201058211</v>
      </c>
      <c r="AI136" s="176" cm="1">
        <f t="array" ref="AI136">AWE*Res2I[[#This Row],[Damage Index]]*Actual_to_Potential</f>
        <v>0.91216134886178302</v>
      </c>
      <c r="AJ136" s="177" cm="1">
        <f t="array" ref="AJ136">AWE*Res2I[[#This Row],[Adjusted Damage Index]]*Inputs!$C$38*Inputs!C$31+IF(Res2I[[#This Row],[Level (m)]]&gt;0,Cleanup,0)+VLOOKUP(Res2I[[#This Row],[Level (m)]],Relocation[],3,FALSE)</f>
        <v>57916.739980578634</v>
      </c>
      <c r="AK136" s="177" cm="1">
        <f t="array" ref="AK136">AWE*Res2I[[#This Row],[Adjusted Damage Index]]*Inputs!$C$38*Inputs!D$31+IF(Res2I[[#This Row],[Level (m)]]&gt;0,Cleanup,0)+VLOOKUP(Res2I[[#This Row],[Level (m)]],Relocation[],3,FALSE)</f>
        <v>99433.479961157267</v>
      </c>
      <c r="AL136" s="177" cm="1">
        <f t="array" ref="AL136">AWE*Res2I[[#This Row],[Adjusted Damage Index]]*Inputs!$C$38*Inputs!E$31+IF(Res2I[[#This Row],[Level (m)]]&gt;0,Cleanup,0)+VLOOKUP(Res2I[[#This Row],[Level (m)]],Relocation[],3,FALSE)</f>
        <v>127111.30661487636</v>
      </c>
      <c r="AM136" s="177" cm="1">
        <f t="array" ref="AM136">AWE*Res2I[[#This Row],[Adjusted Damage Index]]*Inputs!$C$38*Inputs!F$31+IF(Res2I[[#This Row],[Level (m)]]&gt;0,Cleanup,0)+VLOOKUP(Res2I[[#This Row],[Level (m)]],Relocation[],3,FALSE)</f>
        <v>117885.36439696999</v>
      </c>
    </row>
    <row r="137" spans="13:39" x14ac:dyDescent="0.3">
      <c r="M137" s="50">
        <v>5</v>
      </c>
      <c r="N137" s="176">
        <v>0.46034999999999987</v>
      </c>
      <c r="O137" s="176"/>
      <c r="P137" s="177" cm="1">
        <f t="array" ref="P137">AWE*Res2S[[#This Row],[Damage Index]]*Inputs!C$30*Inputs!C$25</f>
        <v>85521.171490593304</v>
      </c>
      <c r="Q137" s="177" cm="1">
        <f t="array" ref="Q137">AWE*Res2S[[#This Row],[Damage Index]]*Inputs!D$30*Inputs!D$25</f>
        <v>171042.34298118661</v>
      </c>
      <c r="R137" s="177" cm="1">
        <f t="array" ref="R137">AWE*Res2S[[#This Row],[Damage Index]]*Inputs!E$30*Inputs!E$25</f>
        <v>228056.45730824885</v>
      </c>
      <c r="S137" s="177" cm="1">
        <f t="array" ref="S137">AWE*Res2S[[#This Row],[Damage Index]]*Inputs!F$30*Inputs!F$25</f>
        <v>209051.75253256143</v>
      </c>
      <c r="AG137" s="50">
        <v>5</v>
      </c>
      <c r="AH137" s="176">
        <v>0.98412698412698418</v>
      </c>
      <c r="AI137" s="176" cm="1">
        <f t="array" ref="AI137">AWE*Res2I[[#This Row],[Damage Index]]*Actual_to_Potential</f>
        <v>0.91412721383777829</v>
      </c>
      <c r="AJ137" s="177" cm="1">
        <f t="array" ref="AJ137">AWE*Res2I[[#This Row],[Adjusted Damage Index]]*Inputs!$C$38*Inputs!C$31+IF(Res2I[[#This Row],[Level (m)]]&gt;0,Cleanup,0)+VLOOKUP(Res2I[[#This Row],[Level (m)]],Relocation[],3,FALSE)</f>
        <v>58006.215713295394</v>
      </c>
      <c r="AK137" s="177" cm="1">
        <f t="array" ref="AK137">AWE*Res2I[[#This Row],[Adjusted Damage Index]]*Inputs!$C$38*Inputs!D$31+IF(Res2I[[#This Row],[Level (m)]]&gt;0,Cleanup,0)+VLOOKUP(Res2I[[#This Row],[Level (m)]],Relocation[],3,FALSE)</f>
        <v>99612.431426590789</v>
      </c>
      <c r="AL137" s="177" cm="1">
        <f t="array" ref="AL137">AWE*Res2I[[#This Row],[Adjusted Damage Index]]*Inputs!$C$38*Inputs!E$31+IF(Res2I[[#This Row],[Level (m)]]&gt;0,Cleanup,0)+VLOOKUP(Res2I[[#This Row],[Level (m)]],Relocation[],3,FALSE)</f>
        <v>127349.90856878772</v>
      </c>
      <c r="AM137" s="177" cm="1">
        <f t="array" ref="AM137">AWE*Res2I[[#This Row],[Adjusted Damage Index]]*Inputs!$C$38*Inputs!F$31+IF(Res2I[[#This Row],[Level (m)]]&gt;0,Cleanup,0)+VLOOKUP(Res2I[[#This Row],[Level (m)]],Relocation[],3,FALSE)</f>
        <v>118104.08285472209</v>
      </c>
    </row>
    <row r="138" spans="13:39" x14ac:dyDescent="0.3">
      <c r="M138" s="50">
        <v>5.05</v>
      </c>
      <c r="N138" s="176">
        <v>0.46034999999999987</v>
      </c>
      <c r="O138" s="176"/>
      <c r="P138" s="177" cm="1">
        <f t="array" ref="P138">AWE*Res2S[[#This Row],[Damage Index]]*Inputs!C$30*Inputs!C$25</f>
        <v>85521.171490593304</v>
      </c>
      <c r="Q138" s="177" cm="1">
        <f t="array" ref="Q138">AWE*Res2S[[#This Row],[Damage Index]]*Inputs!D$30*Inputs!D$25</f>
        <v>171042.34298118661</v>
      </c>
      <c r="R138" s="177" cm="1">
        <f t="array" ref="R138">AWE*Res2S[[#This Row],[Damage Index]]*Inputs!E$30*Inputs!E$25</f>
        <v>228056.45730824885</v>
      </c>
      <c r="S138" s="177" cm="1">
        <f t="array" ref="S138">AWE*Res2S[[#This Row],[Damage Index]]*Inputs!F$30*Inputs!F$25</f>
        <v>209051.75253256143</v>
      </c>
      <c r="AG138" s="50">
        <v>5.05</v>
      </c>
      <c r="AH138" s="176">
        <v>0.98518518518518527</v>
      </c>
      <c r="AI138" s="176" cm="1">
        <f t="array" ref="AI138">AWE*Res2I[[#This Row],[Damage Index]]*Actual_to_Potential</f>
        <v>0.91511014632577603</v>
      </c>
      <c r="AJ138" s="177" cm="1">
        <f t="array" ref="AJ138">AWE*Res2I[[#This Row],[Adjusted Damage Index]]*Inputs!$C$38*Inputs!C$31+IF(Res2I[[#This Row],[Level (m)]]&gt;0,Cleanup,0)+VLOOKUP(Res2I[[#This Row],[Level (m)]],Relocation[],3,FALSE)</f>
        <v>58050.953579653789</v>
      </c>
      <c r="AK138" s="177" cm="1">
        <f t="array" ref="AK138">AWE*Res2I[[#This Row],[Adjusted Damage Index]]*Inputs!$C$38*Inputs!D$31+IF(Res2I[[#This Row],[Level (m)]]&gt;0,Cleanup,0)+VLOOKUP(Res2I[[#This Row],[Level (m)]],Relocation[],3,FALSE)</f>
        <v>99701.907159307579</v>
      </c>
      <c r="AL138" s="177" cm="1">
        <f t="array" ref="AL138">AWE*Res2I[[#This Row],[Adjusted Damage Index]]*Inputs!$C$38*Inputs!E$31+IF(Res2I[[#This Row],[Level (m)]]&gt;0,Cleanup,0)+VLOOKUP(Res2I[[#This Row],[Level (m)]],Relocation[],3,FALSE)</f>
        <v>127469.20954574343</v>
      </c>
      <c r="AM138" s="177" cm="1">
        <f t="array" ref="AM138">AWE*Res2I[[#This Row],[Adjusted Damage Index]]*Inputs!$C$38*Inputs!F$31+IF(Res2I[[#This Row],[Level (m)]]&gt;0,Cleanup,0)+VLOOKUP(Res2I[[#This Row],[Level (m)]],Relocation[],3,FALSE)</f>
        <v>118213.44208359814</v>
      </c>
    </row>
    <row r="139" spans="13:39" x14ac:dyDescent="0.3">
      <c r="M139" s="50">
        <v>5.0999999999999996</v>
      </c>
      <c r="N139" s="176">
        <v>0.46034999999999987</v>
      </c>
      <c r="O139" s="176"/>
      <c r="P139" s="177" cm="1">
        <f t="array" ref="P139">AWE*Res2S[[#This Row],[Damage Index]]*Inputs!C$30*Inputs!C$25</f>
        <v>85521.171490593304</v>
      </c>
      <c r="Q139" s="177" cm="1">
        <f t="array" ref="Q139">AWE*Res2S[[#This Row],[Damage Index]]*Inputs!D$30*Inputs!D$25</f>
        <v>171042.34298118661</v>
      </c>
      <c r="R139" s="177" cm="1">
        <f t="array" ref="R139">AWE*Res2S[[#This Row],[Damage Index]]*Inputs!E$30*Inputs!E$25</f>
        <v>228056.45730824885</v>
      </c>
      <c r="S139" s="177" cm="1">
        <f t="array" ref="S139">AWE*Res2S[[#This Row],[Damage Index]]*Inputs!F$30*Inputs!F$25</f>
        <v>209051.75253256143</v>
      </c>
      <c r="AG139" s="50">
        <v>5.0999999999999996</v>
      </c>
      <c r="AH139" s="176">
        <v>0.98624338624338626</v>
      </c>
      <c r="AI139" s="176" cm="1">
        <f t="array" ref="AI139">AWE*Res2I[[#This Row],[Damage Index]]*Actual_to_Potential</f>
        <v>0.91609307881377344</v>
      </c>
      <c r="AJ139" s="177" cm="1">
        <f t="array" ref="AJ139">AWE*Res2I[[#This Row],[Adjusted Damage Index]]*Inputs!$C$38*Inputs!C$31+IF(Res2I[[#This Row],[Level (m)]]&gt;0,Cleanup,0)+VLOOKUP(Res2I[[#This Row],[Level (m)]],Relocation[],3,FALSE)</f>
        <v>58095.691446012162</v>
      </c>
      <c r="AK139" s="177" cm="1">
        <f t="array" ref="AK139">AWE*Res2I[[#This Row],[Adjusted Damage Index]]*Inputs!$C$38*Inputs!D$31+IF(Res2I[[#This Row],[Level (m)]]&gt;0,Cleanup,0)+VLOOKUP(Res2I[[#This Row],[Level (m)]],Relocation[],3,FALSE)</f>
        <v>99791.382892024325</v>
      </c>
      <c r="AL139" s="177" cm="1">
        <f t="array" ref="AL139">AWE*Res2I[[#This Row],[Adjusted Damage Index]]*Inputs!$C$38*Inputs!E$31+IF(Res2I[[#This Row],[Level (m)]]&gt;0,Cleanup,0)+VLOOKUP(Res2I[[#This Row],[Level (m)]],Relocation[],3,FALSE)</f>
        <v>127588.5105226991</v>
      </c>
      <c r="AM139" s="177" cm="1">
        <f t="array" ref="AM139">AWE*Res2I[[#This Row],[Adjusted Damage Index]]*Inputs!$C$38*Inputs!F$31+IF(Res2I[[#This Row],[Level (m)]]&gt;0,Cleanup,0)+VLOOKUP(Res2I[[#This Row],[Level (m)]],Relocation[],3,FALSE)</f>
        <v>118322.80131247417</v>
      </c>
    </row>
    <row r="140" spans="13:39" x14ac:dyDescent="0.3">
      <c r="M140" s="50">
        <v>5.15</v>
      </c>
      <c r="N140" s="176">
        <v>0.46034999999999987</v>
      </c>
      <c r="O140" s="176"/>
      <c r="P140" s="177" cm="1">
        <f t="array" ref="P140">AWE*Res2S[[#This Row],[Damage Index]]*Inputs!C$30*Inputs!C$25</f>
        <v>85521.171490593304</v>
      </c>
      <c r="Q140" s="177" cm="1">
        <f t="array" ref="Q140">AWE*Res2S[[#This Row],[Damage Index]]*Inputs!D$30*Inputs!D$25</f>
        <v>171042.34298118661</v>
      </c>
      <c r="R140" s="177" cm="1">
        <f t="array" ref="R140">AWE*Res2S[[#This Row],[Damage Index]]*Inputs!E$30*Inputs!E$25</f>
        <v>228056.45730824885</v>
      </c>
      <c r="S140" s="177" cm="1">
        <f t="array" ref="S140">AWE*Res2S[[#This Row],[Damage Index]]*Inputs!F$30*Inputs!F$25</f>
        <v>209051.75253256143</v>
      </c>
      <c r="AG140" s="50">
        <v>5.15</v>
      </c>
      <c r="AH140" s="176">
        <v>0.98730158730158735</v>
      </c>
      <c r="AI140" s="176" cm="1">
        <f t="array" ref="AI140">AWE*Res2I[[#This Row],[Damage Index]]*Actual_to_Potential</f>
        <v>0.91707601130177108</v>
      </c>
      <c r="AJ140" s="177" cm="1">
        <f t="array" ref="AJ140">AWE*Res2I[[#This Row],[Adjusted Damage Index]]*Inputs!$C$38*Inputs!C$31+IF(Res2I[[#This Row],[Level (m)]]&gt;0,Cleanup,0)+VLOOKUP(Res2I[[#This Row],[Level (m)]],Relocation[],3,FALSE)</f>
        <v>58140.429312370543</v>
      </c>
      <c r="AK140" s="177" cm="1">
        <f t="array" ref="AK140">AWE*Res2I[[#This Row],[Adjusted Damage Index]]*Inputs!$C$38*Inputs!D$31+IF(Res2I[[#This Row],[Level (m)]]&gt;0,Cleanup,0)+VLOOKUP(Res2I[[#This Row],[Level (m)]],Relocation[],3,FALSE)</f>
        <v>99880.858624741086</v>
      </c>
      <c r="AL140" s="177" cm="1">
        <f t="array" ref="AL140">AWE*Res2I[[#This Row],[Adjusted Damage Index]]*Inputs!$C$38*Inputs!E$31+IF(Res2I[[#This Row],[Level (m)]]&gt;0,Cleanup,0)+VLOOKUP(Res2I[[#This Row],[Level (m)]],Relocation[],3,FALSE)</f>
        <v>127707.81149965478</v>
      </c>
      <c r="AM140" s="177" cm="1">
        <f t="array" ref="AM140">AWE*Res2I[[#This Row],[Adjusted Damage Index]]*Inputs!$C$38*Inputs!F$31+IF(Res2I[[#This Row],[Level (m)]]&gt;0,Cleanup,0)+VLOOKUP(Res2I[[#This Row],[Level (m)]],Relocation[],3,FALSE)</f>
        <v>118432.16054135021</v>
      </c>
    </row>
    <row r="141" spans="13:39" x14ac:dyDescent="0.3">
      <c r="M141" s="50">
        <v>5.2</v>
      </c>
      <c r="N141" s="176">
        <v>0.46034999999999987</v>
      </c>
      <c r="O141" s="176"/>
      <c r="P141" s="177" cm="1">
        <f t="array" ref="P141">AWE*Res2S[[#This Row],[Damage Index]]*Inputs!C$30*Inputs!C$25</f>
        <v>85521.171490593304</v>
      </c>
      <c r="Q141" s="177" cm="1">
        <f t="array" ref="Q141">AWE*Res2S[[#This Row],[Damage Index]]*Inputs!D$30*Inputs!D$25</f>
        <v>171042.34298118661</v>
      </c>
      <c r="R141" s="177" cm="1">
        <f t="array" ref="R141">AWE*Res2S[[#This Row],[Damage Index]]*Inputs!E$30*Inputs!E$25</f>
        <v>228056.45730824885</v>
      </c>
      <c r="S141" s="177" cm="1">
        <f t="array" ref="S141">AWE*Res2S[[#This Row],[Damage Index]]*Inputs!F$30*Inputs!F$25</f>
        <v>209051.75253256143</v>
      </c>
      <c r="AG141" s="50">
        <v>5.2</v>
      </c>
      <c r="AH141" s="176">
        <v>0.98835978835978833</v>
      </c>
      <c r="AI141" s="176" cm="1">
        <f t="array" ref="AI141">AWE*Res2I[[#This Row],[Damage Index]]*Actual_to_Potential</f>
        <v>0.9180589437897686</v>
      </c>
      <c r="AJ141" s="177" cm="1">
        <f t="array" ref="AJ141">AWE*Res2I[[#This Row],[Adjusted Damage Index]]*Inputs!$C$38*Inputs!C$31+IF(Res2I[[#This Row],[Level (m)]]&gt;0,Cleanup,0)+VLOOKUP(Res2I[[#This Row],[Level (m)]],Relocation[],3,FALSE)</f>
        <v>58185.167178728923</v>
      </c>
      <c r="AK141" s="177" cm="1">
        <f t="array" ref="AK141">AWE*Res2I[[#This Row],[Adjusted Damage Index]]*Inputs!$C$38*Inputs!D$31+IF(Res2I[[#This Row],[Level (m)]]&gt;0,Cleanup,0)+VLOOKUP(Res2I[[#This Row],[Level (m)]],Relocation[],3,FALSE)</f>
        <v>99970.334357457847</v>
      </c>
      <c r="AL141" s="177" cm="1">
        <f t="array" ref="AL141">AWE*Res2I[[#This Row],[Adjusted Damage Index]]*Inputs!$C$38*Inputs!E$31+IF(Res2I[[#This Row],[Level (m)]]&gt;0,Cleanup,0)+VLOOKUP(Res2I[[#This Row],[Level (m)]],Relocation[],3,FALSE)</f>
        <v>127827.11247661046</v>
      </c>
      <c r="AM141" s="177" cm="1">
        <f t="array" ref="AM141">AWE*Res2I[[#This Row],[Adjusted Damage Index]]*Inputs!$C$38*Inputs!F$31+IF(Res2I[[#This Row],[Level (m)]]&gt;0,Cleanup,0)+VLOOKUP(Res2I[[#This Row],[Level (m)]],Relocation[],3,FALSE)</f>
        <v>118541.51977022625</v>
      </c>
    </row>
    <row r="142" spans="13:39" x14ac:dyDescent="0.3">
      <c r="M142" s="50">
        <v>5.25</v>
      </c>
      <c r="N142" s="176">
        <v>0.46034999999999987</v>
      </c>
      <c r="O142" s="176"/>
      <c r="P142" s="177" cm="1">
        <f t="array" ref="P142">AWE*Res2S[[#This Row],[Damage Index]]*Inputs!C$30*Inputs!C$25</f>
        <v>85521.171490593304</v>
      </c>
      <c r="Q142" s="177" cm="1">
        <f t="array" ref="Q142">AWE*Res2S[[#This Row],[Damage Index]]*Inputs!D$30*Inputs!D$25</f>
        <v>171042.34298118661</v>
      </c>
      <c r="R142" s="177" cm="1">
        <f t="array" ref="R142">AWE*Res2S[[#This Row],[Damage Index]]*Inputs!E$30*Inputs!E$25</f>
        <v>228056.45730824885</v>
      </c>
      <c r="S142" s="177" cm="1">
        <f t="array" ref="S142">AWE*Res2S[[#This Row],[Damage Index]]*Inputs!F$30*Inputs!F$25</f>
        <v>209051.75253256143</v>
      </c>
      <c r="AG142" s="50">
        <v>5.25</v>
      </c>
      <c r="AH142" s="176">
        <v>0.98941798941798942</v>
      </c>
      <c r="AI142" s="176" cm="1">
        <f t="array" ref="AI142">AWE*Res2I[[#This Row],[Damage Index]]*Actual_to_Potential</f>
        <v>0.91904187627776623</v>
      </c>
      <c r="AJ142" s="177" cm="1">
        <f t="array" ref="AJ142">AWE*Res2I[[#This Row],[Adjusted Damage Index]]*Inputs!$C$38*Inputs!C$31+IF(Res2I[[#This Row],[Level (m)]]&gt;0,Cleanup,0)+VLOOKUP(Res2I[[#This Row],[Level (m)]],Relocation[],3,FALSE)</f>
        <v>58229.905045087304</v>
      </c>
      <c r="AK142" s="177" cm="1">
        <f t="array" ref="AK142">AWE*Res2I[[#This Row],[Adjusted Damage Index]]*Inputs!$C$38*Inputs!D$31+IF(Res2I[[#This Row],[Level (m)]]&gt;0,Cleanup,0)+VLOOKUP(Res2I[[#This Row],[Level (m)]],Relocation[],3,FALSE)</f>
        <v>100059.81009017461</v>
      </c>
      <c r="AL142" s="177" cm="1">
        <f t="array" ref="AL142">AWE*Res2I[[#This Row],[Adjusted Damage Index]]*Inputs!$C$38*Inputs!E$31+IF(Res2I[[#This Row],[Level (m)]]&gt;0,Cleanup,0)+VLOOKUP(Res2I[[#This Row],[Level (m)]],Relocation[],3,FALSE)</f>
        <v>127946.41345356614</v>
      </c>
      <c r="AM142" s="177" cm="1">
        <f t="array" ref="AM142">AWE*Res2I[[#This Row],[Adjusted Damage Index]]*Inputs!$C$38*Inputs!F$31+IF(Res2I[[#This Row],[Level (m)]]&gt;0,Cleanup,0)+VLOOKUP(Res2I[[#This Row],[Level (m)]],Relocation[],3,FALSE)</f>
        <v>118650.87899910231</v>
      </c>
    </row>
    <row r="143" spans="13:39" x14ac:dyDescent="0.3">
      <c r="M143" s="50">
        <v>5.3</v>
      </c>
      <c r="N143" s="176">
        <v>0.46034999999999987</v>
      </c>
      <c r="O143" s="176"/>
      <c r="P143" s="177" cm="1">
        <f t="array" ref="P143">AWE*Res2S[[#This Row],[Damage Index]]*Inputs!C$30*Inputs!C$25</f>
        <v>85521.171490593304</v>
      </c>
      <c r="Q143" s="177" cm="1">
        <f t="array" ref="Q143">AWE*Res2S[[#This Row],[Damage Index]]*Inputs!D$30*Inputs!D$25</f>
        <v>171042.34298118661</v>
      </c>
      <c r="R143" s="177" cm="1">
        <f t="array" ref="R143">AWE*Res2S[[#This Row],[Damage Index]]*Inputs!E$30*Inputs!E$25</f>
        <v>228056.45730824885</v>
      </c>
      <c r="S143" s="177" cm="1">
        <f t="array" ref="S143">AWE*Res2S[[#This Row],[Damage Index]]*Inputs!F$30*Inputs!F$25</f>
        <v>209051.75253256143</v>
      </c>
      <c r="AG143" s="50">
        <v>5.3</v>
      </c>
      <c r="AH143" s="176">
        <v>0.99047619047619051</v>
      </c>
      <c r="AI143" s="176" cm="1">
        <f t="array" ref="AI143">AWE*Res2I[[#This Row],[Damage Index]]*Actual_to_Potential</f>
        <v>0.92002480876576387</v>
      </c>
      <c r="AJ143" s="177" cm="1">
        <f t="array" ref="AJ143">AWE*Res2I[[#This Row],[Adjusted Damage Index]]*Inputs!$C$38*Inputs!C$31+IF(Res2I[[#This Row],[Level (m)]]&gt;0,Cleanup,0)+VLOOKUP(Res2I[[#This Row],[Level (m)]],Relocation[],3,FALSE)</f>
        <v>58274.642911445684</v>
      </c>
      <c r="AK143" s="177" cm="1">
        <f t="array" ref="AK143">AWE*Res2I[[#This Row],[Adjusted Damage Index]]*Inputs!$C$38*Inputs!D$31+IF(Res2I[[#This Row],[Level (m)]]&gt;0,Cleanup,0)+VLOOKUP(Res2I[[#This Row],[Level (m)]],Relocation[],3,FALSE)</f>
        <v>100149.28582289137</v>
      </c>
      <c r="AL143" s="177" cm="1">
        <f t="array" ref="AL143">AWE*Res2I[[#This Row],[Adjusted Damage Index]]*Inputs!$C$38*Inputs!E$31+IF(Res2I[[#This Row],[Level (m)]]&gt;0,Cleanup,0)+VLOOKUP(Res2I[[#This Row],[Level (m)]],Relocation[],3,FALSE)</f>
        <v>128065.71443052182</v>
      </c>
      <c r="AM143" s="177" cm="1">
        <f t="array" ref="AM143">AWE*Res2I[[#This Row],[Adjusted Damage Index]]*Inputs!$C$38*Inputs!F$31+IF(Res2I[[#This Row],[Level (m)]]&gt;0,Cleanup,0)+VLOOKUP(Res2I[[#This Row],[Level (m)]],Relocation[],3,FALSE)</f>
        <v>118760.23822797833</v>
      </c>
    </row>
    <row r="144" spans="13:39" x14ac:dyDescent="0.3">
      <c r="M144" s="50">
        <v>5.35</v>
      </c>
      <c r="N144" s="176">
        <v>0.46034999999999987</v>
      </c>
      <c r="O144" s="176"/>
      <c r="P144" s="177" cm="1">
        <f t="array" ref="P144">AWE*Res2S[[#This Row],[Damage Index]]*Inputs!C$30*Inputs!C$25</f>
        <v>85521.171490593304</v>
      </c>
      <c r="Q144" s="177" cm="1">
        <f t="array" ref="Q144">AWE*Res2S[[#This Row],[Damage Index]]*Inputs!D$30*Inputs!D$25</f>
        <v>171042.34298118661</v>
      </c>
      <c r="R144" s="177" cm="1">
        <f t="array" ref="R144">AWE*Res2S[[#This Row],[Damage Index]]*Inputs!E$30*Inputs!E$25</f>
        <v>228056.45730824885</v>
      </c>
      <c r="S144" s="177" cm="1">
        <f t="array" ref="S144">AWE*Res2S[[#This Row],[Damage Index]]*Inputs!F$30*Inputs!F$25</f>
        <v>209051.75253256143</v>
      </c>
      <c r="AG144" s="50">
        <v>5.35</v>
      </c>
      <c r="AH144" s="176">
        <v>0.9915343915343916</v>
      </c>
      <c r="AI144" s="176" cm="1">
        <f t="array" ref="AI144">AWE*Res2I[[#This Row],[Damage Index]]*Actual_to_Potential</f>
        <v>0.9210077412537615</v>
      </c>
      <c r="AJ144" s="177" cm="1">
        <f t="array" ref="AJ144">AWE*Res2I[[#This Row],[Adjusted Damage Index]]*Inputs!$C$38*Inputs!C$31+IF(Res2I[[#This Row],[Level (m)]]&gt;0,Cleanup,0)+VLOOKUP(Res2I[[#This Row],[Level (m)]],Relocation[],3,FALSE)</f>
        <v>58319.380777804072</v>
      </c>
      <c r="AK144" s="177" cm="1">
        <f t="array" ref="AK144">AWE*Res2I[[#This Row],[Adjusted Damage Index]]*Inputs!$C$38*Inputs!D$31+IF(Res2I[[#This Row],[Level (m)]]&gt;0,Cleanup,0)+VLOOKUP(Res2I[[#This Row],[Level (m)]],Relocation[],3,FALSE)</f>
        <v>100238.76155560814</v>
      </c>
      <c r="AL144" s="177" cm="1">
        <f t="array" ref="AL144">AWE*Res2I[[#This Row],[Adjusted Damage Index]]*Inputs!$C$38*Inputs!E$31+IF(Res2I[[#This Row],[Level (m)]]&gt;0,Cleanup,0)+VLOOKUP(Res2I[[#This Row],[Level (m)]],Relocation[],3,FALSE)</f>
        <v>128185.01540747752</v>
      </c>
      <c r="AM144" s="177" cm="1">
        <f t="array" ref="AM144">AWE*Res2I[[#This Row],[Adjusted Damage Index]]*Inputs!$C$38*Inputs!F$31+IF(Res2I[[#This Row],[Level (m)]]&gt;0,Cleanup,0)+VLOOKUP(Res2I[[#This Row],[Level (m)]],Relocation[],3,FALSE)</f>
        <v>118869.59745685439</v>
      </c>
    </row>
    <row r="145" spans="13:39" x14ac:dyDescent="0.3">
      <c r="M145" s="50">
        <v>5.4</v>
      </c>
      <c r="N145" s="176">
        <v>0.46034999999999987</v>
      </c>
      <c r="O145" s="176"/>
      <c r="P145" s="177" cm="1">
        <f t="array" ref="P145">AWE*Res2S[[#This Row],[Damage Index]]*Inputs!C$30*Inputs!C$25</f>
        <v>85521.171490593304</v>
      </c>
      <c r="Q145" s="177" cm="1">
        <f t="array" ref="Q145">AWE*Res2S[[#This Row],[Damage Index]]*Inputs!D$30*Inputs!D$25</f>
        <v>171042.34298118661</v>
      </c>
      <c r="R145" s="177" cm="1">
        <f t="array" ref="R145">AWE*Res2S[[#This Row],[Damage Index]]*Inputs!E$30*Inputs!E$25</f>
        <v>228056.45730824885</v>
      </c>
      <c r="S145" s="177" cm="1">
        <f t="array" ref="S145">AWE*Res2S[[#This Row],[Damage Index]]*Inputs!F$30*Inputs!F$25</f>
        <v>209051.75253256143</v>
      </c>
      <c r="AG145" s="50">
        <v>5.4</v>
      </c>
      <c r="AH145" s="176">
        <v>0.99259259259259258</v>
      </c>
      <c r="AI145" s="176" cm="1">
        <f t="array" ref="AI145">AWE*Res2I[[#This Row],[Damage Index]]*Actual_to_Potential</f>
        <v>0.92199067374175914</v>
      </c>
      <c r="AJ145" s="177" cm="1">
        <f t="array" ref="AJ145">AWE*Res2I[[#This Row],[Adjusted Damage Index]]*Inputs!$C$38*Inputs!C$31+IF(Res2I[[#This Row],[Level (m)]]&gt;0,Cleanup,0)+VLOOKUP(Res2I[[#This Row],[Level (m)]],Relocation[],3,FALSE)</f>
        <v>58364.118644162452</v>
      </c>
      <c r="AK145" s="177" cm="1">
        <f t="array" ref="AK145">AWE*Res2I[[#This Row],[Adjusted Damage Index]]*Inputs!$C$38*Inputs!D$31+IF(Res2I[[#This Row],[Level (m)]]&gt;0,Cleanup,0)+VLOOKUP(Res2I[[#This Row],[Level (m)]],Relocation[],3,FALSE)</f>
        <v>100328.2372883249</v>
      </c>
      <c r="AL145" s="177" cm="1">
        <f t="array" ref="AL145">AWE*Res2I[[#This Row],[Adjusted Damage Index]]*Inputs!$C$38*Inputs!E$31+IF(Res2I[[#This Row],[Level (m)]]&gt;0,Cleanup,0)+VLOOKUP(Res2I[[#This Row],[Level (m)]],Relocation[],3,FALSE)</f>
        <v>128304.31638443322</v>
      </c>
      <c r="AM145" s="177" cm="1">
        <f t="array" ref="AM145">AWE*Res2I[[#This Row],[Adjusted Damage Index]]*Inputs!$C$38*Inputs!F$31+IF(Res2I[[#This Row],[Level (m)]]&gt;0,Cleanup,0)+VLOOKUP(Res2I[[#This Row],[Level (m)]],Relocation[],3,FALSE)</f>
        <v>118978.95668573045</v>
      </c>
    </row>
    <row r="146" spans="13:39" x14ac:dyDescent="0.3">
      <c r="M146" s="50">
        <v>5.45</v>
      </c>
      <c r="N146" s="176">
        <v>0.46034999999999987</v>
      </c>
      <c r="O146" s="176"/>
      <c r="P146" s="177" cm="1">
        <f t="array" ref="P146">AWE*Res2S[[#This Row],[Damage Index]]*Inputs!C$30*Inputs!C$25</f>
        <v>85521.171490593304</v>
      </c>
      <c r="Q146" s="177" cm="1">
        <f t="array" ref="Q146">AWE*Res2S[[#This Row],[Damage Index]]*Inputs!D$30*Inputs!D$25</f>
        <v>171042.34298118661</v>
      </c>
      <c r="R146" s="177" cm="1">
        <f t="array" ref="R146">AWE*Res2S[[#This Row],[Damage Index]]*Inputs!E$30*Inputs!E$25</f>
        <v>228056.45730824885</v>
      </c>
      <c r="S146" s="177" cm="1">
        <f t="array" ref="S146">AWE*Res2S[[#This Row],[Damage Index]]*Inputs!F$30*Inputs!F$25</f>
        <v>209051.75253256143</v>
      </c>
      <c r="AG146" s="50">
        <v>5.45</v>
      </c>
      <c r="AH146" s="176">
        <v>0.99365079365079367</v>
      </c>
      <c r="AI146" s="176" cm="1">
        <f t="array" ref="AI146">AWE*Res2I[[#This Row],[Damage Index]]*Actual_to_Potential</f>
        <v>0.92297360622975666</v>
      </c>
      <c r="AJ146" s="177" cm="1">
        <f t="array" ref="AJ146">AWE*Res2I[[#This Row],[Adjusted Damage Index]]*Inputs!$C$38*Inputs!C$31+IF(Res2I[[#This Row],[Level (m)]]&gt;0,Cleanup,0)+VLOOKUP(Res2I[[#This Row],[Level (m)]],Relocation[],3,FALSE)</f>
        <v>58408.856510520825</v>
      </c>
      <c r="AK146" s="177" cm="1">
        <f t="array" ref="AK146">AWE*Res2I[[#This Row],[Adjusted Damage Index]]*Inputs!$C$38*Inputs!D$31+IF(Res2I[[#This Row],[Level (m)]]&gt;0,Cleanup,0)+VLOOKUP(Res2I[[#This Row],[Level (m)]],Relocation[],3,FALSE)</f>
        <v>100417.71302104165</v>
      </c>
      <c r="AL146" s="177" cm="1">
        <f t="array" ref="AL146">AWE*Res2I[[#This Row],[Adjusted Damage Index]]*Inputs!$C$38*Inputs!E$31+IF(Res2I[[#This Row],[Level (m)]]&gt;0,Cleanup,0)+VLOOKUP(Res2I[[#This Row],[Level (m)]],Relocation[],3,FALSE)</f>
        <v>128423.61736138887</v>
      </c>
      <c r="AM146" s="177" cm="1">
        <f t="array" ref="AM146">AWE*Res2I[[#This Row],[Adjusted Damage Index]]*Inputs!$C$38*Inputs!F$31+IF(Res2I[[#This Row],[Level (m)]]&gt;0,Cleanup,0)+VLOOKUP(Res2I[[#This Row],[Level (m)]],Relocation[],3,FALSE)</f>
        <v>119088.31591460647</v>
      </c>
    </row>
    <row r="147" spans="13:39" x14ac:dyDescent="0.3">
      <c r="M147" s="50">
        <v>5.5</v>
      </c>
      <c r="N147" s="176">
        <v>0.46034999999999987</v>
      </c>
      <c r="O147" s="176"/>
      <c r="P147" s="177" cm="1">
        <f t="array" ref="P147">AWE*Res2S[[#This Row],[Damage Index]]*Inputs!C$30*Inputs!C$25</f>
        <v>85521.171490593304</v>
      </c>
      <c r="Q147" s="177" cm="1">
        <f t="array" ref="Q147">AWE*Res2S[[#This Row],[Damage Index]]*Inputs!D$30*Inputs!D$25</f>
        <v>171042.34298118661</v>
      </c>
      <c r="R147" s="177" cm="1">
        <f t="array" ref="R147">AWE*Res2S[[#This Row],[Damage Index]]*Inputs!E$30*Inputs!E$25</f>
        <v>228056.45730824885</v>
      </c>
      <c r="S147" s="177" cm="1">
        <f t="array" ref="S147">AWE*Res2S[[#This Row],[Damage Index]]*Inputs!F$30*Inputs!F$25</f>
        <v>209051.75253256143</v>
      </c>
      <c r="AG147" s="50">
        <v>5.5</v>
      </c>
      <c r="AH147" s="176">
        <v>0.99470899470899476</v>
      </c>
      <c r="AI147" s="176" cm="1">
        <f t="array" ref="AI147">AWE*Res2I[[#This Row],[Damage Index]]*Actual_to_Potential</f>
        <v>0.92395653871775429</v>
      </c>
      <c r="AJ147" s="177" cm="1">
        <f t="array" ref="AJ147">AWE*Res2I[[#This Row],[Adjusted Damage Index]]*Inputs!$C$38*Inputs!C$31+IF(Res2I[[#This Row],[Level (m)]]&gt;0,Cleanup,0)+VLOOKUP(Res2I[[#This Row],[Level (m)]],Relocation[],3,FALSE)</f>
        <v>58453.594376879213</v>
      </c>
      <c r="AK147" s="177" cm="1">
        <f t="array" ref="AK147">AWE*Res2I[[#This Row],[Adjusted Damage Index]]*Inputs!$C$38*Inputs!D$31+IF(Res2I[[#This Row],[Level (m)]]&gt;0,Cleanup,0)+VLOOKUP(Res2I[[#This Row],[Level (m)]],Relocation[],3,FALSE)</f>
        <v>100507.18875375843</v>
      </c>
      <c r="AL147" s="177" cm="1">
        <f t="array" ref="AL147">AWE*Res2I[[#This Row],[Adjusted Damage Index]]*Inputs!$C$38*Inputs!E$31+IF(Res2I[[#This Row],[Level (m)]]&gt;0,Cleanup,0)+VLOOKUP(Res2I[[#This Row],[Level (m)]],Relocation[],3,FALSE)</f>
        <v>128542.91833834456</v>
      </c>
      <c r="AM147" s="177" cm="1">
        <f t="array" ref="AM147">AWE*Res2I[[#This Row],[Adjusted Damage Index]]*Inputs!$C$38*Inputs!F$31+IF(Res2I[[#This Row],[Level (m)]]&gt;0,Cleanup,0)+VLOOKUP(Res2I[[#This Row],[Level (m)]],Relocation[],3,FALSE)</f>
        <v>119197.67514348251</v>
      </c>
    </row>
    <row r="148" spans="13:39" x14ac:dyDescent="0.3">
      <c r="M148" s="50">
        <v>5.55</v>
      </c>
      <c r="N148" s="176">
        <v>0.46034999999999987</v>
      </c>
      <c r="O148" s="176"/>
      <c r="P148" s="177" cm="1">
        <f t="array" ref="P148">AWE*Res2S[[#This Row],[Damage Index]]*Inputs!C$30*Inputs!C$25</f>
        <v>85521.171490593304</v>
      </c>
      <c r="Q148" s="177" cm="1">
        <f t="array" ref="Q148">AWE*Res2S[[#This Row],[Damage Index]]*Inputs!D$30*Inputs!D$25</f>
        <v>171042.34298118661</v>
      </c>
      <c r="R148" s="177" cm="1">
        <f t="array" ref="R148">AWE*Res2S[[#This Row],[Damage Index]]*Inputs!E$30*Inputs!E$25</f>
        <v>228056.45730824885</v>
      </c>
      <c r="S148" s="177" cm="1">
        <f t="array" ref="S148">AWE*Res2S[[#This Row],[Damage Index]]*Inputs!F$30*Inputs!F$25</f>
        <v>209051.75253256143</v>
      </c>
      <c r="AG148" s="50">
        <v>5.55</v>
      </c>
      <c r="AH148" s="176">
        <v>0.99523809523809526</v>
      </c>
      <c r="AI148" s="176" cm="1">
        <f t="array" ref="AI148">AWE*Res2I[[#This Row],[Damage Index]]*Actual_to_Potential</f>
        <v>0.92444800496175317</v>
      </c>
      <c r="AJ148" s="177" cm="1">
        <f t="array" ref="AJ148">AWE*Res2I[[#This Row],[Adjusted Damage Index]]*Inputs!$C$38*Inputs!C$31+IF(Res2I[[#This Row],[Level (m)]]&gt;0,Cleanup,0)+VLOOKUP(Res2I[[#This Row],[Level (m)]],Relocation[],3,FALSE)</f>
        <v>58475.963310058411</v>
      </c>
      <c r="AK148" s="177" cm="1">
        <f t="array" ref="AK148">AWE*Res2I[[#This Row],[Adjusted Damage Index]]*Inputs!$C$38*Inputs!D$31+IF(Res2I[[#This Row],[Level (m)]]&gt;0,Cleanup,0)+VLOOKUP(Res2I[[#This Row],[Level (m)]],Relocation[],3,FALSE)</f>
        <v>100551.92662011682</v>
      </c>
      <c r="AL148" s="177" cm="1">
        <f t="array" ref="AL148">AWE*Res2I[[#This Row],[Adjusted Damage Index]]*Inputs!$C$38*Inputs!E$31+IF(Res2I[[#This Row],[Level (m)]]&gt;0,Cleanup,0)+VLOOKUP(Res2I[[#This Row],[Level (m)]],Relocation[],3,FALSE)</f>
        <v>128602.56882682242</v>
      </c>
      <c r="AM148" s="177" cm="1">
        <f t="array" ref="AM148">AWE*Res2I[[#This Row],[Adjusted Damage Index]]*Inputs!$C$38*Inputs!F$31+IF(Res2I[[#This Row],[Level (m)]]&gt;0,Cleanup,0)+VLOOKUP(Res2I[[#This Row],[Level (m)]],Relocation[],3,FALSE)</f>
        <v>119252.35475792056</v>
      </c>
    </row>
    <row r="149" spans="13:39" x14ac:dyDescent="0.3">
      <c r="M149" s="50">
        <v>5.6</v>
      </c>
      <c r="N149" s="176">
        <v>0.46034999999999987</v>
      </c>
      <c r="O149" s="176"/>
      <c r="P149" s="177" cm="1">
        <f t="array" ref="P149">AWE*Res2S[[#This Row],[Damage Index]]*Inputs!C$30*Inputs!C$25</f>
        <v>85521.171490593304</v>
      </c>
      <c r="Q149" s="177" cm="1">
        <f t="array" ref="Q149">AWE*Res2S[[#This Row],[Damage Index]]*Inputs!D$30*Inputs!D$25</f>
        <v>171042.34298118661</v>
      </c>
      <c r="R149" s="177" cm="1">
        <f t="array" ref="R149">AWE*Res2S[[#This Row],[Damage Index]]*Inputs!E$30*Inputs!E$25</f>
        <v>228056.45730824885</v>
      </c>
      <c r="S149" s="177" cm="1">
        <f t="array" ref="S149">AWE*Res2S[[#This Row],[Damage Index]]*Inputs!F$30*Inputs!F$25</f>
        <v>209051.75253256143</v>
      </c>
      <c r="AG149" s="50">
        <v>5.6</v>
      </c>
      <c r="AH149" s="176">
        <v>0.99576719576719575</v>
      </c>
      <c r="AI149" s="176" cm="1">
        <f t="array" ref="AI149">AWE*Res2I[[#This Row],[Damage Index]]*Actual_to_Potential</f>
        <v>0.92493947120575193</v>
      </c>
      <c r="AJ149" s="177" cm="1">
        <f t="array" ref="AJ149">AWE*Res2I[[#This Row],[Adjusted Damage Index]]*Inputs!$C$38*Inputs!C$31+IF(Res2I[[#This Row],[Level (m)]]&gt;0,Cleanup,0)+VLOOKUP(Res2I[[#This Row],[Level (m)]],Relocation[],3,FALSE)</f>
        <v>58498.332243237601</v>
      </c>
      <c r="AK149" s="177" cm="1">
        <f t="array" ref="AK149">AWE*Res2I[[#This Row],[Adjusted Damage Index]]*Inputs!$C$38*Inputs!D$31+IF(Res2I[[#This Row],[Level (m)]]&gt;0,Cleanup,0)+VLOOKUP(Res2I[[#This Row],[Level (m)]],Relocation[],3,FALSE)</f>
        <v>100596.6644864752</v>
      </c>
      <c r="AL149" s="177" cm="1">
        <f t="array" ref="AL149">AWE*Res2I[[#This Row],[Adjusted Damage Index]]*Inputs!$C$38*Inputs!E$31+IF(Res2I[[#This Row],[Level (m)]]&gt;0,Cleanup,0)+VLOOKUP(Res2I[[#This Row],[Level (m)]],Relocation[],3,FALSE)</f>
        <v>128662.21931530027</v>
      </c>
      <c r="AM149" s="177" cm="1">
        <f t="array" ref="AM149">AWE*Res2I[[#This Row],[Adjusted Damage Index]]*Inputs!$C$38*Inputs!F$31+IF(Res2I[[#This Row],[Level (m)]]&gt;0,Cleanup,0)+VLOOKUP(Res2I[[#This Row],[Level (m)]],Relocation[],3,FALSE)</f>
        <v>119307.03437235858</v>
      </c>
    </row>
    <row r="150" spans="13:39" x14ac:dyDescent="0.3">
      <c r="M150" s="50">
        <v>5.65</v>
      </c>
      <c r="N150" s="176">
        <v>0.46034999999999987</v>
      </c>
      <c r="O150" s="176"/>
      <c r="P150" s="177" cm="1">
        <f t="array" ref="P150">AWE*Res2S[[#This Row],[Damage Index]]*Inputs!C$30*Inputs!C$25</f>
        <v>85521.171490593304</v>
      </c>
      <c r="Q150" s="177" cm="1">
        <f t="array" ref="Q150">AWE*Res2S[[#This Row],[Damage Index]]*Inputs!D$30*Inputs!D$25</f>
        <v>171042.34298118661</v>
      </c>
      <c r="R150" s="177" cm="1">
        <f t="array" ref="R150">AWE*Res2S[[#This Row],[Damage Index]]*Inputs!E$30*Inputs!E$25</f>
        <v>228056.45730824885</v>
      </c>
      <c r="S150" s="177" cm="1">
        <f t="array" ref="S150">AWE*Res2S[[#This Row],[Damage Index]]*Inputs!F$30*Inputs!F$25</f>
        <v>209051.75253256143</v>
      </c>
      <c r="AG150" s="50">
        <v>5.65</v>
      </c>
      <c r="AH150" s="176">
        <v>0.99629629629629635</v>
      </c>
      <c r="AI150" s="176" cm="1">
        <f t="array" ref="AI150">AWE*Res2I[[#This Row],[Damage Index]]*Actual_to_Potential</f>
        <v>0.9254309374497508</v>
      </c>
      <c r="AJ150" s="177" cm="1">
        <f t="array" ref="AJ150">AWE*Res2I[[#This Row],[Adjusted Damage Index]]*Inputs!$C$38*Inputs!C$31+IF(Res2I[[#This Row],[Level (m)]]&gt;0,Cleanup,0)+VLOOKUP(Res2I[[#This Row],[Level (m)]],Relocation[],3,FALSE)</f>
        <v>58520.701176416791</v>
      </c>
      <c r="AK150" s="177" cm="1">
        <f t="array" ref="AK150">AWE*Res2I[[#This Row],[Adjusted Damage Index]]*Inputs!$C$38*Inputs!D$31+IF(Res2I[[#This Row],[Level (m)]]&gt;0,Cleanup,0)+VLOOKUP(Res2I[[#This Row],[Level (m)]],Relocation[],3,FALSE)</f>
        <v>100641.40235283358</v>
      </c>
      <c r="AL150" s="177" cm="1">
        <f t="array" ref="AL150">AWE*Res2I[[#This Row],[Adjusted Damage Index]]*Inputs!$C$38*Inputs!E$31+IF(Res2I[[#This Row],[Level (m)]]&gt;0,Cleanup,0)+VLOOKUP(Res2I[[#This Row],[Level (m)]],Relocation[],3,FALSE)</f>
        <v>128721.86980377811</v>
      </c>
      <c r="AM150" s="177" cm="1">
        <f t="array" ref="AM150">AWE*Res2I[[#This Row],[Adjusted Damage Index]]*Inputs!$C$38*Inputs!F$31+IF(Res2I[[#This Row],[Level (m)]]&gt;0,Cleanup,0)+VLOOKUP(Res2I[[#This Row],[Level (m)]],Relocation[],3,FALSE)</f>
        <v>119361.7139867966</v>
      </c>
    </row>
    <row r="151" spans="13:39" x14ac:dyDescent="0.3">
      <c r="M151" s="50">
        <v>5.7</v>
      </c>
      <c r="N151" s="176">
        <v>0.46034999999999987</v>
      </c>
      <c r="O151" s="176"/>
      <c r="P151" s="177" cm="1">
        <f t="array" ref="P151">AWE*Res2S[[#This Row],[Damage Index]]*Inputs!C$30*Inputs!C$25</f>
        <v>85521.171490593304</v>
      </c>
      <c r="Q151" s="177" cm="1">
        <f t="array" ref="Q151">AWE*Res2S[[#This Row],[Damage Index]]*Inputs!D$30*Inputs!D$25</f>
        <v>171042.34298118661</v>
      </c>
      <c r="R151" s="177" cm="1">
        <f t="array" ref="R151">AWE*Res2S[[#This Row],[Damage Index]]*Inputs!E$30*Inputs!E$25</f>
        <v>228056.45730824885</v>
      </c>
      <c r="S151" s="177" cm="1">
        <f t="array" ref="S151">AWE*Res2S[[#This Row],[Damage Index]]*Inputs!F$30*Inputs!F$25</f>
        <v>209051.75253256143</v>
      </c>
      <c r="AG151" s="50">
        <v>5.7</v>
      </c>
      <c r="AH151" s="176">
        <v>0.99682539682539684</v>
      </c>
      <c r="AI151" s="176" cm="1">
        <f t="array" ref="AI151">AWE*Res2I[[#This Row],[Damage Index]]*Actual_to_Potential</f>
        <v>0.92592240369374956</v>
      </c>
      <c r="AJ151" s="177" cm="1">
        <f t="array" ref="AJ151">AWE*Res2I[[#This Row],[Adjusted Damage Index]]*Inputs!$C$38*Inputs!C$31+IF(Res2I[[#This Row],[Level (m)]]&gt;0,Cleanup,0)+VLOOKUP(Res2I[[#This Row],[Level (m)]],Relocation[],3,FALSE)</f>
        <v>58543.070109595981</v>
      </c>
      <c r="AK151" s="177" cm="1">
        <f t="array" ref="AK151">AWE*Res2I[[#This Row],[Adjusted Damage Index]]*Inputs!$C$38*Inputs!D$31+IF(Res2I[[#This Row],[Level (m)]]&gt;0,Cleanup,0)+VLOOKUP(Res2I[[#This Row],[Level (m)]],Relocation[],3,FALSE)</f>
        <v>100686.14021919196</v>
      </c>
      <c r="AL151" s="177" cm="1">
        <f t="array" ref="AL151">AWE*Res2I[[#This Row],[Adjusted Damage Index]]*Inputs!$C$38*Inputs!E$31+IF(Res2I[[#This Row],[Level (m)]]&gt;0,Cleanup,0)+VLOOKUP(Res2I[[#This Row],[Level (m)]],Relocation[],3,FALSE)</f>
        <v>128781.52029225595</v>
      </c>
      <c r="AM151" s="177" cm="1">
        <f t="array" ref="AM151">AWE*Res2I[[#This Row],[Adjusted Damage Index]]*Inputs!$C$38*Inputs!F$31+IF(Res2I[[#This Row],[Level (m)]]&gt;0,Cleanup,0)+VLOOKUP(Res2I[[#This Row],[Level (m)]],Relocation[],3,FALSE)</f>
        <v>119416.39360123462</v>
      </c>
    </row>
    <row r="152" spans="13:39" x14ac:dyDescent="0.3">
      <c r="M152" s="50">
        <v>5.75</v>
      </c>
      <c r="N152" s="176">
        <v>0.46034999999999987</v>
      </c>
      <c r="O152" s="176"/>
      <c r="P152" s="177" cm="1">
        <f t="array" ref="P152">AWE*Res2S[[#This Row],[Damage Index]]*Inputs!C$30*Inputs!C$25</f>
        <v>85521.171490593304</v>
      </c>
      <c r="Q152" s="177" cm="1">
        <f t="array" ref="Q152">AWE*Res2S[[#This Row],[Damage Index]]*Inputs!D$30*Inputs!D$25</f>
        <v>171042.34298118661</v>
      </c>
      <c r="R152" s="177" cm="1">
        <f t="array" ref="R152">AWE*Res2S[[#This Row],[Damage Index]]*Inputs!E$30*Inputs!E$25</f>
        <v>228056.45730824885</v>
      </c>
      <c r="S152" s="177" cm="1">
        <f t="array" ref="S152">AWE*Res2S[[#This Row],[Damage Index]]*Inputs!F$30*Inputs!F$25</f>
        <v>209051.75253256143</v>
      </c>
      <c r="AG152" s="50">
        <v>5.75</v>
      </c>
      <c r="AH152" s="176">
        <v>0.99735449735449733</v>
      </c>
      <c r="AI152" s="176" cm="1">
        <f t="array" ref="AI152">AWE*Res2I[[#This Row],[Damage Index]]*Actual_to_Potential</f>
        <v>0.92641386993774821</v>
      </c>
      <c r="AJ152" s="177" cm="1">
        <f t="array" ref="AJ152">AWE*Res2I[[#This Row],[Adjusted Damage Index]]*Inputs!$C$38*Inputs!C$31+IF(Res2I[[#This Row],[Level (m)]]&gt;0,Cleanup,0)+VLOOKUP(Res2I[[#This Row],[Level (m)]],Relocation[],3,FALSE)</f>
        <v>58565.439042775171</v>
      </c>
      <c r="AK152" s="177" cm="1">
        <f t="array" ref="AK152">AWE*Res2I[[#This Row],[Adjusted Damage Index]]*Inputs!$C$38*Inputs!D$31+IF(Res2I[[#This Row],[Level (m)]]&gt;0,Cleanup,0)+VLOOKUP(Res2I[[#This Row],[Level (m)]],Relocation[],3,FALSE)</f>
        <v>100730.87808555034</v>
      </c>
      <c r="AL152" s="177" cm="1">
        <f t="array" ref="AL152">AWE*Res2I[[#This Row],[Adjusted Damage Index]]*Inputs!$C$38*Inputs!E$31+IF(Res2I[[#This Row],[Level (m)]]&gt;0,Cleanup,0)+VLOOKUP(Res2I[[#This Row],[Level (m)]],Relocation[],3,FALSE)</f>
        <v>128841.17078073378</v>
      </c>
      <c r="AM152" s="177" cm="1">
        <f t="array" ref="AM152">AWE*Res2I[[#This Row],[Adjusted Damage Index]]*Inputs!$C$38*Inputs!F$31+IF(Res2I[[#This Row],[Level (m)]]&gt;0,Cleanup,0)+VLOOKUP(Res2I[[#This Row],[Level (m)]],Relocation[],3,FALSE)</f>
        <v>119471.07321567263</v>
      </c>
    </row>
    <row r="153" spans="13:39" x14ac:dyDescent="0.3">
      <c r="M153" s="50">
        <v>5.8</v>
      </c>
      <c r="N153" s="176">
        <v>0.46034999999999987</v>
      </c>
      <c r="O153" s="176"/>
      <c r="P153" s="177" cm="1">
        <f t="array" ref="P153">AWE*Res2S[[#This Row],[Damage Index]]*Inputs!C$30*Inputs!C$25</f>
        <v>85521.171490593304</v>
      </c>
      <c r="Q153" s="177" cm="1">
        <f t="array" ref="Q153">AWE*Res2S[[#This Row],[Damage Index]]*Inputs!D$30*Inputs!D$25</f>
        <v>171042.34298118661</v>
      </c>
      <c r="R153" s="177" cm="1">
        <f t="array" ref="R153">AWE*Res2S[[#This Row],[Damage Index]]*Inputs!E$30*Inputs!E$25</f>
        <v>228056.45730824885</v>
      </c>
      <c r="S153" s="177" cm="1">
        <f t="array" ref="S153">AWE*Res2S[[#This Row],[Damage Index]]*Inputs!F$30*Inputs!F$25</f>
        <v>209051.75253256143</v>
      </c>
      <c r="AG153" s="50">
        <v>5.8</v>
      </c>
      <c r="AH153" s="176">
        <v>0.99788359788359782</v>
      </c>
      <c r="AI153" s="176" cm="1">
        <f t="array" ref="AI153">AWE*Res2I[[#This Row],[Damage Index]]*Actual_to_Potential</f>
        <v>0.92690533618174709</v>
      </c>
      <c r="AJ153" s="177" cm="1">
        <f t="array" ref="AJ153">AWE*Res2I[[#This Row],[Adjusted Damage Index]]*Inputs!$C$38*Inputs!C$31+IF(Res2I[[#This Row],[Level (m)]]&gt;0,Cleanup,0)+VLOOKUP(Res2I[[#This Row],[Level (m)]],Relocation[],3,FALSE)</f>
        <v>58587.807975954362</v>
      </c>
      <c r="AK153" s="177" cm="1">
        <f t="array" ref="AK153">AWE*Res2I[[#This Row],[Adjusted Damage Index]]*Inputs!$C$38*Inputs!D$31+IF(Res2I[[#This Row],[Level (m)]]&gt;0,Cleanup,0)+VLOOKUP(Res2I[[#This Row],[Level (m)]],Relocation[],3,FALSE)</f>
        <v>100775.61595190872</v>
      </c>
      <c r="AL153" s="177" cm="1">
        <f t="array" ref="AL153">AWE*Res2I[[#This Row],[Adjusted Damage Index]]*Inputs!$C$38*Inputs!E$31+IF(Res2I[[#This Row],[Level (m)]]&gt;0,Cleanup,0)+VLOOKUP(Res2I[[#This Row],[Level (m)]],Relocation[],3,FALSE)</f>
        <v>128900.82126921162</v>
      </c>
      <c r="AM153" s="177" cm="1">
        <f t="array" ref="AM153">AWE*Res2I[[#This Row],[Adjusted Damage Index]]*Inputs!$C$38*Inputs!F$31+IF(Res2I[[#This Row],[Level (m)]]&gt;0,Cleanup,0)+VLOOKUP(Res2I[[#This Row],[Level (m)]],Relocation[],3,FALSE)</f>
        <v>119525.75283011066</v>
      </c>
    </row>
    <row r="154" spans="13:39" x14ac:dyDescent="0.3">
      <c r="M154" s="50">
        <v>5.85</v>
      </c>
      <c r="N154" s="176">
        <v>0.46034999999999987</v>
      </c>
      <c r="O154" s="176"/>
      <c r="P154" s="177" cm="1">
        <f t="array" ref="P154">AWE*Res2S[[#This Row],[Damage Index]]*Inputs!C$30*Inputs!C$25</f>
        <v>85521.171490593304</v>
      </c>
      <c r="Q154" s="177" cm="1">
        <f t="array" ref="Q154">AWE*Res2S[[#This Row],[Damage Index]]*Inputs!D$30*Inputs!D$25</f>
        <v>171042.34298118661</v>
      </c>
      <c r="R154" s="177" cm="1">
        <f t="array" ref="R154">AWE*Res2S[[#This Row],[Damage Index]]*Inputs!E$30*Inputs!E$25</f>
        <v>228056.45730824885</v>
      </c>
      <c r="S154" s="177" cm="1">
        <f t="array" ref="S154">AWE*Res2S[[#This Row],[Damage Index]]*Inputs!F$30*Inputs!F$25</f>
        <v>209051.75253256143</v>
      </c>
      <c r="AG154" s="50">
        <v>5.85</v>
      </c>
      <c r="AH154" s="176">
        <v>0.99841269841269842</v>
      </c>
      <c r="AI154" s="176" cm="1">
        <f t="array" ref="AI154">AWE*Res2I[[#This Row],[Damage Index]]*Actual_to_Potential</f>
        <v>0.92739680242574585</v>
      </c>
      <c r="AJ154" s="177" cm="1">
        <f t="array" ref="AJ154">AWE*Res2I[[#This Row],[Adjusted Damage Index]]*Inputs!$C$38*Inputs!C$31+IF(Res2I[[#This Row],[Level (m)]]&gt;0,Cleanup,0)+VLOOKUP(Res2I[[#This Row],[Level (m)]],Relocation[],3,FALSE)</f>
        <v>58610.176909133545</v>
      </c>
      <c r="AK154" s="177" cm="1">
        <f t="array" ref="AK154">AWE*Res2I[[#This Row],[Adjusted Damage Index]]*Inputs!$C$38*Inputs!D$31+IF(Res2I[[#This Row],[Level (m)]]&gt;0,Cleanup,0)+VLOOKUP(Res2I[[#This Row],[Level (m)]],Relocation[],3,FALSE)</f>
        <v>100820.35381826709</v>
      </c>
      <c r="AL154" s="177" cm="1">
        <f t="array" ref="AL154">AWE*Res2I[[#This Row],[Adjusted Damage Index]]*Inputs!$C$38*Inputs!E$31+IF(Res2I[[#This Row],[Level (m)]]&gt;0,Cleanup,0)+VLOOKUP(Res2I[[#This Row],[Level (m)]],Relocation[],3,FALSE)</f>
        <v>128960.47175768946</v>
      </c>
      <c r="AM154" s="177" cm="1">
        <f t="array" ref="AM154">AWE*Res2I[[#This Row],[Adjusted Damage Index]]*Inputs!$C$38*Inputs!F$31+IF(Res2I[[#This Row],[Level (m)]]&gt;0,Cleanup,0)+VLOOKUP(Res2I[[#This Row],[Level (m)]],Relocation[],3,FALSE)</f>
        <v>119580.43244454867</v>
      </c>
    </row>
    <row r="155" spans="13:39" x14ac:dyDescent="0.3">
      <c r="M155" s="50">
        <v>5.9</v>
      </c>
      <c r="N155" s="176">
        <v>0.46034999999999987</v>
      </c>
      <c r="O155" s="176"/>
      <c r="P155" s="177" cm="1">
        <f t="array" ref="P155">AWE*Res2S[[#This Row],[Damage Index]]*Inputs!C$30*Inputs!C$25</f>
        <v>85521.171490593304</v>
      </c>
      <c r="Q155" s="177" cm="1">
        <f t="array" ref="Q155">AWE*Res2S[[#This Row],[Damage Index]]*Inputs!D$30*Inputs!D$25</f>
        <v>171042.34298118661</v>
      </c>
      <c r="R155" s="177" cm="1">
        <f t="array" ref="R155">AWE*Res2S[[#This Row],[Damage Index]]*Inputs!E$30*Inputs!E$25</f>
        <v>228056.45730824885</v>
      </c>
      <c r="S155" s="177" cm="1">
        <f t="array" ref="S155">AWE*Res2S[[#This Row],[Damage Index]]*Inputs!F$30*Inputs!F$25</f>
        <v>209051.75253256143</v>
      </c>
      <c r="AG155" s="50">
        <v>5.9</v>
      </c>
      <c r="AH155" s="176">
        <v>0.99894179894179891</v>
      </c>
      <c r="AI155" s="176" cm="1">
        <f t="array" ref="AI155">AWE*Res2I[[#This Row],[Damage Index]]*Actual_to_Potential</f>
        <v>0.92788826866974472</v>
      </c>
      <c r="AJ155" s="177" cm="1">
        <f t="array" ref="AJ155">AWE*Res2I[[#This Row],[Adjusted Damage Index]]*Inputs!$C$38*Inputs!C$31+IF(Res2I[[#This Row],[Level (m)]]&gt;0,Cleanup,0)+VLOOKUP(Res2I[[#This Row],[Level (m)]],Relocation[],3,FALSE)</f>
        <v>58632.545842312742</v>
      </c>
      <c r="AK155" s="177" cm="1">
        <f t="array" ref="AK155">AWE*Res2I[[#This Row],[Adjusted Damage Index]]*Inputs!$C$38*Inputs!D$31+IF(Res2I[[#This Row],[Level (m)]]&gt;0,Cleanup,0)+VLOOKUP(Res2I[[#This Row],[Level (m)]],Relocation[],3,FALSE)</f>
        <v>100865.09168462548</v>
      </c>
      <c r="AL155" s="177" cm="1">
        <f t="array" ref="AL155">AWE*Res2I[[#This Row],[Adjusted Damage Index]]*Inputs!$C$38*Inputs!E$31+IF(Res2I[[#This Row],[Level (m)]]&gt;0,Cleanup,0)+VLOOKUP(Res2I[[#This Row],[Level (m)]],Relocation[],3,FALSE)</f>
        <v>129020.12224616732</v>
      </c>
      <c r="AM155" s="177" cm="1">
        <f t="array" ref="AM155">AWE*Res2I[[#This Row],[Adjusted Damage Index]]*Inputs!$C$38*Inputs!F$31+IF(Res2I[[#This Row],[Level (m)]]&gt;0,Cleanup,0)+VLOOKUP(Res2I[[#This Row],[Level (m)]],Relocation[],3,FALSE)</f>
        <v>119635.11205898671</v>
      </c>
    </row>
    <row r="156" spans="13:39" x14ac:dyDescent="0.3">
      <c r="M156" s="50">
        <v>5.95</v>
      </c>
      <c r="N156" s="176">
        <v>0.46034999999999987</v>
      </c>
      <c r="O156" s="176"/>
      <c r="P156" s="177" cm="1">
        <f t="array" ref="P156">AWE*Res2S[[#This Row],[Damage Index]]*Inputs!C$30*Inputs!C$25</f>
        <v>85521.171490593304</v>
      </c>
      <c r="Q156" s="177" cm="1">
        <f t="array" ref="Q156">AWE*Res2S[[#This Row],[Damage Index]]*Inputs!D$30*Inputs!D$25</f>
        <v>171042.34298118661</v>
      </c>
      <c r="R156" s="177" cm="1">
        <f t="array" ref="R156">AWE*Res2S[[#This Row],[Damage Index]]*Inputs!E$30*Inputs!E$25</f>
        <v>228056.45730824885</v>
      </c>
      <c r="S156" s="177" cm="1">
        <f t="array" ref="S156">AWE*Res2S[[#This Row],[Damage Index]]*Inputs!F$30*Inputs!F$25</f>
        <v>209051.75253256143</v>
      </c>
      <c r="AG156" s="50">
        <v>5.95</v>
      </c>
      <c r="AH156" s="176">
        <v>0.99947089947089951</v>
      </c>
      <c r="AI156" s="176" cm="1">
        <f t="array" ref="AI156">AWE*Res2I[[#This Row],[Damage Index]]*Actual_to_Potential</f>
        <v>0.92837973491374359</v>
      </c>
      <c r="AJ156" s="177" cm="1">
        <f t="array" ref="AJ156">AWE*Res2I[[#This Row],[Adjusted Damage Index]]*Inputs!$C$38*Inputs!C$31+IF(Res2I[[#This Row],[Level (m)]]&gt;0,Cleanup,0)+VLOOKUP(Res2I[[#This Row],[Level (m)]],Relocation[],3,FALSE)</f>
        <v>58654.91477549194</v>
      </c>
      <c r="AK156" s="177" cm="1">
        <f t="array" ref="AK156">AWE*Res2I[[#This Row],[Adjusted Damage Index]]*Inputs!$C$38*Inputs!D$31+IF(Res2I[[#This Row],[Level (m)]]&gt;0,Cleanup,0)+VLOOKUP(Res2I[[#This Row],[Level (m)]],Relocation[],3,FALSE)</f>
        <v>100909.82955098388</v>
      </c>
      <c r="AL156" s="177" cm="1">
        <f t="array" ref="AL156">AWE*Res2I[[#This Row],[Adjusted Damage Index]]*Inputs!$C$38*Inputs!E$31+IF(Res2I[[#This Row],[Level (m)]]&gt;0,Cleanup,0)+VLOOKUP(Res2I[[#This Row],[Level (m)]],Relocation[],3,FALSE)</f>
        <v>129079.77273464517</v>
      </c>
      <c r="AM156" s="177" cm="1">
        <f t="array" ref="AM156">AWE*Res2I[[#This Row],[Adjusted Damage Index]]*Inputs!$C$38*Inputs!F$31+IF(Res2I[[#This Row],[Level (m)]]&gt;0,Cleanup,0)+VLOOKUP(Res2I[[#This Row],[Level (m)]],Relocation[],3,FALSE)</f>
        <v>119689.79167342474</v>
      </c>
    </row>
    <row r="157" spans="13:39" x14ac:dyDescent="0.3">
      <c r="M157" s="50">
        <v>6</v>
      </c>
      <c r="N157" s="176">
        <v>0.46034999999999987</v>
      </c>
      <c r="O157" s="176"/>
      <c r="P157" s="177" cm="1">
        <f t="array" ref="P157">AWE*Res2S[[#This Row],[Damage Index]]*Inputs!C$30*Inputs!C$25</f>
        <v>85521.171490593304</v>
      </c>
      <c r="Q157" s="177" cm="1">
        <f t="array" ref="Q157">AWE*Res2S[[#This Row],[Damage Index]]*Inputs!D$30*Inputs!D$25</f>
        <v>171042.34298118661</v>
      </c>
      <c r="R157" s="177" cm="1">
        <f t="array" ref="R157">AWE*Res2S[[#This Row],[Damage Index]]*Inputs!E$30*Inputs!E$25</f>
        <v>228056.45730824885</v>
      </c>
      <c r="S157" s="177" cm="1">
        <f t="array" ref="S157">AWE*Res2S[[#This Row],[Damage Index]]*Inputs!F$30*Inputs!F$25</f>
        <v>209051.75253256143</v>
      </c>
      <c r="AG157" s="50">
        <v>6</v>
      </c>
      <c r="AH157" s="176">
        <v>1</v>
      </c>
      <c r="AI157" s="176" cm="1">
        <f t="array" ref="AI157">AWE*Res2I[[#This Row],[Damage Index]]*Actual_to_Potential</f>
        <v>0.92887120115774235</v>
      </c>
      <c r="AJ157" s="177" cm="1">
        <f t="array" ref="AJ157">AWE*Res2I[[#This Row],[Adjusted Damage Index]]*Inputs!$C$38*Inputs!C$31+IF(Res2I[[#This Row],[Level (m)]]&gt;0,Cleanup,0)+VLOOKUP(Res2I[[#This Row],[Level (m)]],Relocation[],3,FALSE)</f>
        <v>58677.283708671122</v>
      </c>
      <c r="AK157" s="177" cm="1">
        <f t="array" ref="AK157">AWE*Res2I[[#This Row],[Adjusted Damage Index]]*Inputs!$C$38*Inputs!D$31+IF(Res2I[[#This Row],[Level (m)]]&gt;0,Cleanup,0)+VLOOKUP(Res2I[[#This Row],[Level (m)]],Relocation[],3,FALSE)</f>
        <v>100954.56741734224</v>
      </c>
      <c r="AL157" s="177" cm="1">
        <f t="array" ref="AL157">AWE*Res2I[[#This Row],[Adjusted Damage Index]]*Inputs!$C$38*Inputs!E$31+IF(Res2I[[#This Row],[Level (m)]]&gt;0,Cleanup,0)+VLOOKUP(Res2I[[#This Row],[Level (m)]],Relocation[],3,FALSE)</f>
        <v>129139.423223123</v>
      </c>
      <c r="AM157" s="177" cm="1">
        <f t="array" ref="AM157">AWE*Res2I[[#This Row],[Adjusted Damage Index]]*Inputs!$C$38*Inputs!F$31+IF(Res2I[[#This Row],[Level (m)]]&gt;0,Cleanup,0)+VLOOKUP(Res2I[[#This Row],[Level (m)]],Relocation[],3,FALSE)</f>
        <v>119744.47128786275</v>
      </c>
    </row>
  </sheetData>
  <sheetProtection algorithmName="SHA-512" hashValue="4LSRLSR7OmJ2KUkrn5uTrYcqevQR4FZhAKupi0ZxftYUslqioFdGHBQjuNlgHOUgARpNRY8tF2uCQjKXEXypuw==" saltValue="LOBRSkPlG4nGQjOm/OQN+g==" spinCount="100000" sheet="1" objects="1" scenarios="1"/>
  <mergeCells count="4">
    <mergeCell ref="B2:I2"/>
    <mergeCell ref="L2:S2"/>
    <mergeCell ref="V2:AC2"/>
    <mergeCell ref="AF2:AM2"/>
  </mergeCells>
  <pageMargins left="0.23622047244094491" right="0.23622047244094491" top="0.74803149606299213" bottom="0.74803149606299213" header="0.31496062992125984" footer="0.31496062992125984"/>
  <pageSetup paperSize="9" fitToWidth="0" fitToHeight="0" orientation="portrait" horizontalDpi="1200" verticalDpi="1200" r:id="rId1"/>
  <headerFooter>
    <oddFooter>&amp;R&amp;"-,Italic"&amp;K03+000Page &amp;P of &amp;N</oddFooter>
  </headerFooter>
  <colBreaks count="4" manualBreakCount="4">
    <brk id="10" max="1048575" man="1"/>
    <brk id="20" max="1048575" man="1"/>
    <brk id="30" max="1048575" man="1"/>
    <brk id="40" max="1048575" man="1"/>
  </colBreaks>
  <drawing r:id="rId2"/>
  <tableParts count="4">
    <tablePart r:id="rId3"/>
    <tablePart r:id="rId4"/>
    <tablePart r:id="rId5"/>
    <tablePart r:id="rId6"/>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DBCD9-8368-40DD-A894-C1AAE60AF0B2}">
  <sheetPr codeName="Sheet7">
    <tabColor theme="5" tint="0.59999389629810485"/>
  </sheetPr>
  <dimension ref="A1:T136"/>
  <sheetViews>
    <sheetView topLeftCell="A4" zoomScale="80" zoomScaleNormal="80" workbookViewId="0">
      <selection activeCell="AA29" sqref="AA29"/>
    </sheetView>
  </sheetViews>
  <sheetFormatPr defaultRowHeight="14.4" x14ac:dyDescent="0.3"/>
  <cols>
    <col min="1" max="1" width="3" customWidth="1"/>
    <col min="2" max="2" width="23.21875" customWidth="1"/>
    <col min="3" max="3" width="12.21875" customWidth="1"/>
    <col min="4" max="4" width="9.21875" customWidth="1"/>
    <col min="5" max="5" width="13.33203125" style="54" customWidth="1"/>
    <col min="6" max="6" width="12.5546875" style="54" customWidth="1"/>
    <col min="7" max="7" width="9.21875" style="54" customWidth="1"/>
    <col min="8" max="8" width="15.88671875" style="54" customWidth="1"/>
    <col min="9" max="9" width="9.21875" style="54"/>
    <col min="10" max="10" width="3" customWidth="1"/>
    <col min="11" max="11" width="3" hidden="1" customWidth="1"/>
    <col min="12" max="12" width="23.21875" hidden="1" customWidth="1"/>
    <col min="13" max="14" width="9.21875" hidden="1" customWidth="1"/>
    <col min="15" max="19" width="9.21875" style="54" hidden="1" customWidth="1"/>
    <col min="20" max="20" width="3" hidden="1" customWidth="1"/>
  </cols>
  <sheetData>
    <row r="1" spans="1:20" ht="15" thickBot="1" x14ac:dyDescent="0.35">
      <c r="A1" s="52"/>
      <c r="B1" s="52"/>
      <c r="C1" s="52"/>
      <c r="D1" s="52"/>
      <c r="E1" s="53"/>
      <c r="F1" s="53"/>
      <c r="G1" s="53"/>
      <c r="H1" s="53"/>
      <c r="I1" s="53"/>
      <c r="J1" s="52"/>
      <c r="K1" s="52"/>
      <c r="L1" s="52"/>
      <c r="M1" s="52"/>
      <c r="N1" s="52"/>
      <c r="O1" s="53"/>
      <c r="P1" s="53"/>
      <c r="Q1" s="53"/>
      <c r="R1" s="53"/>
      <c r="S1" s="53"/>
      <c r="T1" s="52"/>
    </row>
    <row r="2" spans="1:20" ht="24" thickBot="1" x14ac:dyDescent="0.5">
      <c r="B2" s="553" t="s">
        <v>64</v>
      </c>
      <c r="C2" s="554"/>
      <c r="D2" s="554"/>
      <c r="E2" s="554"/>
      <c r="F2" s="554"/>
      <c r="G2" s="554"/>
      <c r="H2" s="554"/>
      <c r="I2" s="555"/>
      <c r="L2" s="553" t="s">
        <v>64</v>
      </c>
      <c r="M2" s="554"/>
      <c r="N2" s="554"/>
      <c r="O2" s="554"/>
      <c r="P2" s="554"/>
      <c r="Q2" s="554"/>
      <c r="R2" s="554"/>
      <c r="S2" s="555"/>
    </row>
    <row r="3" spans="1:20" s="160" customFormat="1" x14ac:dyDescent="0.3">
      <c r="B3" s="161" t="s">
        <v>63</v>
      </c>
      <c r="L3" s="161" t="s">
        <v>63</v>
      </c>
    </row>
    <row r="4" spans="1:20" ht="15" thickBot="1" x14ac:dyDescent="0.35">
      <c r="E4"/>
      <c r="F4"/>
      <c r="G4"/>
      <c r="H4"/>
      <c r="I4"/>
      <c r="O4"/>
      <c r="P4"/>
      <c r="Q4"/>
      <c r="R4"/>
      <c r="S4"/>
    </row>
    <row r="5" spans="1:20" x14ac:dyDescent="0.3">
      <c r="B5" s="178" t="s">
        <v>93</v>
      </c>
      <c r="C5" s="183"/>
      <c r="D5" s="6"/>
      <c r="E5" s="6"/>
      <c r="F5" s="6"/>
      <c r="G5" s="6"/>
      <c r="H5" s="6"/>
      <c r="I5" s="310"/>
      <c r="O5"/>
      <c r="P5"/>
      <c r="Q5"/>
      <c r="R5"/>
      <c r="S5"/>
    </row>
    <row r="6" spans="1:20" ht="15" thickBot="1" x14ac:dyDescent="0.35">
      <c r="B6" s="184" t="s">
        <v>304</v>
      </c>
      <c r="C6" s="179"/>
      <c r="D6" s="179"/>
      <c r="E6" s="179"/>
      <c r="F6" s="179"/>
      <c r="G6" s="179"/>
      <c r="H6" s="179"/>
      <c r="I6" s="180"/>
      <c r="O6"/>
      <c r="P6"/>
      <c r="Q6"/>
      <c r="R6"/>
      <c r="S6"/>
    </row>
    <row r="7" spans="1:20" x14ac:dyDescent="0.3">
      <c r="E7"/>
      <c r="F7"/>
      <c r="G7"/>
      <c r="H7"/>
      <c r="I7"/>
      <c r="O7"/>
      <c r="P7"/>
      <c r="Q7"/>
      <c r="R7"/>
      <c r="S7"/>
    </row>
    <row r="8" spans="1:20" x14ac:dyDescent="0.3">
      <c r="E8"/>
      <c r="F8"/>
      <c r="G8"/>
      <c r="H8"/>
      <c r="I8"/>
      <c r="O8"/>
      <c r="P8"/>
      <c r="Q8"/>
      <c r="R8"/>
      <c r="S8"/>
    </row>
    <row r="9" spans="1:20" x14ac:dyDescent="0.3">
      <c r="E9"/>
      <c r="F9"/>
      <c r="G9"/>
      <c r="H9"/>
      <c r="I9"/>
      <c r="O9"/>
      <c r="P9"/>
      <c r="Q9"/>
      <c r="R9"/>
      <c r="S9"/>
    </row>
    <row r="10" spans="1:20" x14ac:dyDescent="0.3">
      <c r="E10"/>
      <c r="F10"/>
      <c r="G10"/>
      <c r="H10"/>
      <c r="I10"/>
      <c r="O10"/>
      <c r="P10"/>
      <c r="Q10"/>
      <c r="R10"/>
      <c r="S10"/>
    </row>
    <row r="11" spans="1:20" x14ac:dyDescent="0.3">
      <c r="E11"/>
      <c r="F11"/>
      <c r="G11"/>
      <c r="H11"/>
      <c r="I11"/>
      <c r="O11"/>
      <c r="P11"/>
      <c r="Q11"/>
      <c r="R11"/>
      <c r="S11"/>
    </row>
    <row r="12" spans="1:20" x14ac:dyDescent="0.3">
      <c r="E12"/>
      <c r="F12"/>
      <c r="G12"/>
      <c r="H12"/>
      <c r="I12"/>
      <c r="O12"/>
      <c r="P12"/>
      <c r="Q12"/>
      <c r="R12"/>
      <c r="S12"/>
    </row>
    <row r="13" spans="1:20" x14ac:dyDescent="0.3">
      <c r="E13"/>
      <c r="F13"/>
      <c r="G13"/>
      <c r="H13"/>
      <c r="I13"/>
      <c r="O13"/>
      <c r="P13"/>
      <c r="Q13"/>
      <c r="R13"/>
      <c r="S13"/>
    </row>
    <row r="14" spans="1:20" x14ac:dyDescent="0.3">
      <c r="E14"/>
      <c r="F14"/>
      <c r="G14"/>
      <c r="H14"/>
      <c r="I14"/>
      <c r="O14"/>
      <c r="P14"/>
      <c r="Q14"/>
      <c r="R14"/>
      <c r="S14"/>
    </row>
    <row r="15" spans="1:20" x14ac:dyDescent="0.3">
      <c r="E15"/>
      <c r="F15"/>
      <c r="G15"/>
      <c r="H15"/>
      <c r="I15"/>
      <c r="O15"/>
      <c r="P15"/>
      <c r="Q15"/>
      <c r="R15"/>
      <c r="S15"/>
    </row>
    <row r="16" spans="1:20" x14ac:dyDescent="0.3">
      <c r="E16"/>
      <c r="F16"/>
      <c r="G16"/>
      <c r="H16"/>
      <c r="I16"/>
      <c r="O16"/>
      <c r="P16"/>
      <c r="Q16"/>
      <c r="R16"/>
      <c r="S16"/>
    </row>
    <row r="17" spans="2:19" x14ac:dyDescent="0.3">
      <c r="E17"/>
      <c r="F17"/>
      <c r="G17"/>
      <c r="H17"/>
      <c r="I17"/>
      <c r="O17"/>
      <c r="P17"/>
      <c r="Q17"/>
      <c r="R17"/>
      <c r="S17"/>
    </row>
    <row r="18" spans="2:19" x14ac:dyDescent="0.3">
      <c r="E18"/>
      <c r="F18"/>
      <c r="G18"/>
      <c r="H18"/>
      <c r="I18"/>
      <c r="O18"/>
      <c r="P18"/>
      <c r="Q18"/>
      <c r="R18"/>
      <c r="S18"/>
    </row>
    <row r="19" spans="2:19" x14ac:dyDescent="0.3">
      <c r="E19"/>
      <c r="F19"/>
      <c r="G19"/>
      <c r="H19"/>
      <c r="I19"/>
      <c r="O19"/>
      <c r="P19"/>
      <c r="Q19"/>
      <c r="R19"/>
      <c r="S19"/>
    </row>
    <row r="20" spans="2:19" x14ac:dyDescent="0.3">
      <c r="E20"/>
      <c r="F20"/>
      <c r="G20"/>
      <c r="H20"/>
      <c r="I20"/>
      <c r="O20"/>
      <c r="P20"/>
      <c r="Q20"/>
      <c r="R20"/>
      <c r="S20"/>
    </row>
    <row r="21" spans="2:19" x14ac:dyDescent="0.3">
      <c r="E21"/>
      <c r="F21"/>
      <c r="G21"/>
      <c r="H21"/>
      <c r="I21"/>
      <c r="O21"/>
      <c r="P21"/>
      <c r="Q21"/>
      <c r="R21"/>
      <c r="S21"/>
    </row>
    <row r="22" spans="2:19" x14ac:dyDescent="0.3">
      <c r="E22"/>
      <c r="F22"/>
      <c r="G22"/>
      <c r="H22"/>
      <c r="I22"/>
      <c r="O22"/>
      <c r="P22"/>
      <c r="Q22"/>
      <c r="R22"/>
      <c r="S22"/>
    </row>
    <row r="23" spans="2:19" x14ac:dyDescent="0.3">
      <c r="E23"/>
      <c r="F23"/>
      <c r="G23"/>
      <c r="H23"/>
      <c r="I23"/>
      <c r="O23"/>
      <c r="P23"/>
      <c r="Q23"/>
      <c r="R23"/>
      <c r="S23"/>
    </row>
    <row r="24" spans="2:19" x14ac:dyDescent="0.3">
      <c r="E24"/>
      <c r="F24"/>
      <c r="G24"/>
      <c r="H24"/>
      <c r="I24"/>
      <c r="O24"/>
      <c r="P24"/>
      <c r="Q24"/>
      <c r="R24"/>
      <c r="S24"/>
    </row>
    <row r="25" spans="2:19" x14ac:dyDescent="0.3">
      <c r="E25"/>
      <c r="F25"/>
      <c r="G25"/>
      <c r="H25"/>
      <c r="I25"/>
      <c r="O25"/>
      <c r="P25"/>
      <c r="Q25"/>
      <c r="R25"/>
      <c r="S25"/>
    </row>
    <row r="26" spans="2:19" x14ac:dyDescent="0.3">
      <c r="E26"/>
      <c r="F26"/>
      <c r="G26"/>
      <c r="H26"/>
      <c r="I26"/>
      <c r="O26"/>
      <c r="P26"/>
      <c r="Q26"/>
      <c r="R26"/>
      <c r="S26"/>
    </row>
    <row r="27" spans="2:19" x14ac:dyDescent="0.3">
      <c r="E27"/>
      <c r="F27"/>
      <c r="G27"/>
      <c r="H27"/>
      <c r="I27"/>
      <c r="O27"/>
      <c r="P27"/>
      <c r="Q27"/>
      <c r="R27"/>
      <c r="S27"/>
    </row>
    <row r="28" spans="2:19" x14ac:dyDescent="0.3">
      <c r="E28" s="802" t="s">
        <v>133</v>
      </c>
      <c r="F28" s="802"/>
      <c r="G28" s="802"/>
      <c r="H28" s="802"/>
      <c r="I28" s="802"/>
      <c r="O28" s="802" t="s">
        <v>277</v>
      </c>
      <c r="P28" s="802"/>
      <c r="Q28" s="802"/>
      <c r="R28" s="802"/>
      <c r="S28" s="802"/>
    </row>
    <row r="29" spans="2:19" ht="15" thickBot="1" x14ac:dyDescent="0.35">
      <c r="E29" s="181">
        <v>1</v>
      </c>
      <c r="F29" s="181">
        <v>2</v>
      </c>
      <c r="G29" s="181">
        <v>3</v>
      </c>
      <c r="H29" s="181">
        <v>4</v>
      </c>
      <c r="I29" s="181">
        <v>5</v>
      </c>
      <c r="O29" s="181">
        <v>1</v>
      </c>
      <c r="P29" s="181">
        <v>2</v>
      </c>
      <c r="Q29" s="181">
        <v>3</v>
      </c>
      <c r="R29" s="181">
        <v>4</v>
      </c>
      <c r="S29" s="181">
        <v>5</v>
      </c>
    </row>
    <row r="30" spans="2:19" ht="15" thickBot="1" x14ac:dyDescent="0.35">
      <c r="B30" s="60"/>
      <c r="E30" s="73" t="s">
        <v>132</v>
      </c>
      <c r="F30" s="190">
        <v>0.4</v>
      </c>
      <c r="G30" s="191">
        <v>0.6</v>
      </c>
      <c r="H30" s="191">
        <v>1</v>
      </c>
      <c r="I30" s="192">
        <v>1.5</v>
      </c>
      <c r="L30" s="60"/>
      <c r="O30" s="73" t="s">
        <v>132</v>
      </c>
      <c r="P30" s="190">
        <v>0.4</v>
      </c>
      <c r="Q30" s="191">
        <v>0.6</v>
      </c>
      <c r="R30" s="191">
        <v>1</v>
      </c>
      <c r="S30" s="192">
        <v>1.5</v>
      </c>
    </row>
    <row r="31" spans="2:19" ht="58.2" thickBot="1" x14ac:dyDescent="0.35">
      <c r="C31" s="289" t="s">
        <v>130</v>
      </c>
      <c r="E31" s="194" t="s">
        <v>61</v>
      </c>
      <c r="F31" s="197" t="s">
        <v>134</v>
      </c>
      <c r="G31" s="194" t="s">
        <v>129</v>
      </c>
      <c r="H31" s="194" t="s">
        <v>250</v>
      </c>
      <c r="I31" s="194" t="s">
        <v>131</v>
      </c>
      <c r="O31" s="194" t="s">
        <v>61</v>
      </c>
      <c r="P31" s="197" t="s">
        <v>134</v>
      </c>
      <c r="Q31" s="194" t="s">
        <v>129</v>
      </c>
      <c r="R31" s="194" t="s">
        <v>130</v>
      </c>
      <c r="S31" s="194" t="s">
        <v>131</v>
      </c>
    </row>
    <row r="32" spans="2:19" x14ac:dyDescent="0.3">
      <c r="C32" s="290">
        <v>0</v>
      </c>
      <c r="E32" s="193">
        <v>-0.3</v>
      </c>
      <c r="F32" s="195" cm="1">
        <f t="array" ref="F32">F$30*(CPI*C32)+CPI*C32*(IndirectCom)</f>
        <v>0</v>
      </c>
      <c r="G32" s="195" cm="1">
        <f t="array" ref="G32">G$30*(CPI*C32)+CPI*C32*(IndirectCom)</f>
        <v>0</v>
      </c>
      <c r="H32" s="196" cm="1">
        <f t="array" ref="H32">H$30*(CPI*C32)+CPI*C32*(IndirectCom)</f>
        <v>0</v>
      </c>
      <c r="I32" s="195" cm="1">
        <f t="array" ref="I32">I$30*(CPI*C32)+CPI*C32*(IndirectCom)</f>
        <v>0</v>
      </c>
      <c r="O32" s="193">
        <v>-0.3</v>
      </c>
      <c r="P32" s="195">
        <f>Com1I[[#This Row],[Default Average]]*P$30</f>
        <v>0</v>
      </c>
      <c r="Q32" s="195">
        <f>Com1I[[#This Row],[Default Average]]*Q$30</f>
        <v>0</v>
      </c>
      <c r="R32" s="196">
        <v>0</v>
      </c>
      <c r="S32" s="195">
        <f>Com1I[[#This Row],[Default Average]]*S$30</f>
        <v>0</v>
      </c>
    </row>
    <row r="33" spans="3:19" x14ac:dyDescent="0.3">
      <c r="C33" s="291">
        <v>0</v>
      </c>
      <c r="E33" s="55">
        <v>-0.25</v>
      </c>
      <c r="F33" s="195" cm="1">
        <f t="array" ref="F33">F$30*(CPI*C33)+CPI*C33*(IndirectCom)</f>
        <v>0</v>
      </c>
      <c r="G33" s="195" cm="1">
        <f t="array" ref="G33">G$30*(CPI*C33)+CPI*C33*(IndirectCom)</f>
        <v>0</v>
      </c>
      <c r="H33" s="196" cm="1">
        <f t="array" ref="H33">H$30*(CPI*C33)+CPI*C33*(IndirectCom)</f>
        <v>0</v>
      </c>
      <c r="I33" s="195" cm="1">
        <f t="array" ref="I33">I$30*(CPI*C33)+CPI*C33*(IndirectCom)</f>
        <v>0</v>
      </c>
      <c r="O33" s="193">
        <v>-0.25</v>
      </c>
      <c r="P33" s="195">
        <f>Com1I[[#This Row],[Default Average]]*P$30</f>
        <v>0</v>
      </c>
      <c r="Q33" s="195">
        <f>Com1I[[#This Row],[Default Average]]*Q$30</f>
        <v>0</v>
      </c>
      <c r="R33" s="196">
        <v>0</v>
      </c>
      <c r="S33" s="195">
        <f>Com1I[[#This Row],[Default Average]]*S$30</f>
        <v>0</v>
      </c>
    </row>
    <row r="34" spans="3:19" x14ac:dyDescent="0.3">
      <c r="C34" s="291">
        <v>0</v>
      </c>
      <c r="E34" s="193">
        <v>-0.2</v>
      </c>
      <c r="F34" s="195" cm="1">
        <f t="array" ref="F34">F$30*(CPI*C34)+CPI*C34*(IndirectCom)</f>
        <v>0</v>
      </c>
      <c r="G34" s="195" cm="1">
        <f t="array" ref="G34">G$30*(CPI*C34)+CPI*C34*(IndirectCom)</f>
        <v>0</v>
      </c>
      <c r="H34" s="196" cm="1">
        <f t="array" ref="H34">H$30*(CPI*C34)+CPI*C34*(IndirectCom)</f>
        <v>0</v>
      </c>
      <c r="I34" s="195" cm="1">
        <f t="array" ref="I34">I$30*(CPI*C34)+CPI*C34*(IndirectCom)</f>
        <v>0</v>
      </c>
      <c r="O34" s="193">
        <v>-0.2</v>
      </c>
      <c r="P34" s="195">
        <f>Com1I[[#This Row],[Default Average]]*P$30</f>
        <v>0</v>
      </c>
      <c r="Q34" s="195">
        <f>Com1I[[#This Row],[Default Average]]*Q$30</f>
        <v>0</v>
      </c>
      <c r="R34" s="196">
        <v>0</v>
      </c>
      <c r="S34" s="195">
        <f>Com1I[[#This Row],[Default Average]]*S$30</f>
        <v>0</v>
      </c>
    </row>
    <row r="35" spans="3:19" x14ac:dyDescent="0.3">
      <c r="C35" s="291">
        <v>0</v>
      </c>
      <c r="E35" s="55">
        <v>-0.15</v>
      </c>
      <c r="F35" s="195" cm="1">
        <f t="array" ref="F35">F$30*(CPI*C35)+CPI*C35*(IndirectCom)</f>
        <v>0</v>
      </c>
      <c r="G35" s="195" cm="1">
        <f t="array" ref="G35">G$30*(CPI*C35)+CPI*C35*(IndirectCom)</f>
        <v>0</v>
      </c>
      <c r="H35" s="196" cm="1">
        <f t="array" ref="H35">H$30*(CPI*C35)+CPI*C35*(IndirectCom)</f>
        <v>0</v>
      </c>
      <c r="I35" s="195" cm="1">
        <f t="array" ref="I35">I$30*(CPI*C35)+CPI*C35*(IndirectCom)</f>
        <v>0</v>
      </c>
      <c r="O35" s="193">
        <v>-0.15</v>
      </c>
      <c r="P35" s="195">
        <f>Com1I[[#This Row],[Default Average]]*P$30</f>
        <v>0</v>
      </c>
      <c r="Q35" s="195">
        <f>Com1I[[#This Row],[Default Average]]*Q$30</f>
        <v>0</v>
      </c>
      <c r="R35" s="196">
        <v>0</v>
      </c>
      <c r="S35" s="195">
        <f>Com1I[[#This Row],[Default Average]]*S$30</f>
        <v>0</v>
      </c>
    </row>
    <row r="36" spans="3:19" x14ac:dyDescent="0.3">
      <c r="C36" s="291">
        <v>0</v>
      </c>
      <c r="E36" s="193">
        <v>-0.1</v>
      </c>
      <c r="F36" s="195" cm="1">
        <f t="array" ref="F36">F$30*(CPI*C36)+CPI*C36*(IndirectCom)</f>
        <v>0</v>
      </c>
      <c r="G36" s="195" cm="1">
        <f t="array" ref="G36">G$30*(CPI*C36)+CPI*C36*(IndirectCom)</f>
        <v>0</v>
      </c>
      <c r="H36" s="196" cm="1">
        <f t="array" ref="H36">H$30*(CPI*C36)+CPI*C36*(IndirectCom)</f>
        <v>0</v>
      </c>
      <c r="I36" s="195" cm="1">
        <f t="array" ref="I36">I$30*(CPI*C36)+CPI*C36*(IndirectCom)</f>
        <v>0</v>
      </c>
      <c r="O36" s="193">
        <v>-0.1</v>
      </c>
      <c r="P36" s="195">
        <f>Com1I[[#This Row],[Default Average]]*P$30</f>
        <v>0</v>
      </c>
      <c r="Q36" s="195">
        <f>Com1I[[#This Row],[Default Average]]*Q$30</f>
        <v>0</v>
      </c>
      <c r="R36" s="196">
        <v>0</v>
      </c>
      <c r="S36" s="195">
        <f>Com1I[[#This Row],[Default Average]]*S$30</f>
        <v>0</v>
      </c>
    </row>
    <row r="37" spans="3:19" x14ac:dyDescent="0.3">
      <c r="C37" s="291">
        <v>0</v>
      </c>
      <c r="E37" s="55">
        <v>-0.05</v>
      </c>
      <c r="F37" s="195" cm="1">
        <f t="array" ref="F37">F$30*(CPI*C37)+CPI*C37*(IndirectCom)</f>
        <v>0</v>
      </c>
      <c r="G37" s="195" cm="1">
        <f t="array" ref="G37">G$30*(CPI*C37)+CPI*C37*(IndirectCom)</f>
        <v>0</v>
      </c>
      <c r="H37" s="196" cm="1">
        <f t="array" ref="H37">H$30*(CPI*C37)+CPI*C37*(IndirectCom)</f>
        <v>0</v>
      </c>
      <c r="I37" s="195" cm="1">
        <f t="array" ref="I37">I$30*(CPI*C37)+CPI*C37*(IndirectCom)</f>
        <v>0</v>
      </c>
      <c r="O37" s="193">
        <v>-0.05</v>
      </c>
      <c r="P37" s="195">
        <f>Com1I[[#This Row],[Default Average]]*P$30</f>
        <v>0</v>
      </c>
      <c r="Q37" s="195">
        <f>Com1I[[#This Row],[Default Average]]*Q$30</f>
        <v>0</v>
      </c>
      <c r="R37" s="196">
        <v>0</v>
      </c>
      <c r="S37" s="195">
        <f>Com1I[[#This Row],[Default Average]]*S$30</f>
        <v>0</v>
      </c>
    </row>
    <row r="38" spans="3:19" x14ac:dyDescent="0.3">
      <c r="C38" s="291">
        <v>0</v>
      </c>
      <c r="E38" s="193">
        <v>0</v>
      </c>
      <c r="F38" s="195" cm="1">
        <f t="array" ref="F38">F$30*(CPI*C38)+CPI*C38*(IndirectCom)</f>
        <v>0</v>
      </c>
      <c r="G38" s="195" cm="1">
        <f t="array" ref="G38">G$30*(CPI*C38)+CPI*C38*(IndirectCom)</f>
        <v>0</v>
      </c>
      <c r="H38" s="196" cm="1">
        <f t="array" ref="H38">H$30*(CPI*C38)+CPI*C38*(IndirectCom)</f>
        <v>0</v>
      </c>
      <c r="I38" s="195" cm="1">
        <f t="array" ref="I38">I$30*(CPI*C38)+CPI*C38*(IndirectCom)</f>
        <v>0</v>
      </c>
      <c r="O38" s="193">
        <v>0</v>
      </c>
      <c r="P38" s="195">
        <f>Com1I[[#This Row],[Default Average]]*P$30</f>
        <v>0</v>
      </c>
      <c r="Q38" s="195">
        <f>Com1I[[#This Row],[Default Average]]*Q$30</f>
        <v>0</v>
      </c>
      <c r="R38" s="196">
        <v>0</v>
      </c>
      <c r="S38" s="195">
        <f>Com1I[[#This Row],[Default Average]]*S$30</f>
        <v>0</v>
      </c>
    </row>
    <row r="39" spans="3:19" x14ac:dyDescent="0.3">
      <c r="C39" s="291">
        <v>72.039090909090916</v>
      </c>
      <c r="E39" s="55">
        <v>0.05</v>
      </c>
      <c r="F39" s="195" cm="1">
        <f t="array" ref="F39">F$30*(CPI*C39)+CPI*C39*(IndirectCom)</f>
        <v>50.81493517584039</v>
      </c>
      <c r="G39" s="195" cm="1">
        <f t="array" ref="G39">G$30*(CPI*C39)+CPI*C39*(IndirectCom)</f>
        <v>65.333488083223358</v>
      </c>
      <c r="H39" s="196" cm="1">
        <f t="array" ref="H39">H$30*(CPI*C39)+CPI*C39*(IndirectCom)</f>
        <v>94.370593897989295</v>
      </c>
      <c r="I39" s="195" cm="1">
        <f t="array" ref="I39">I$30*(CPI*C39)+CPI*C39*(IndirectCom)</f>
        <v>130.66697616644672</v>
      </c>
      <c r="O39" s="55">
        <v>0.05</v>
      </c>
      <c r="P39" s="56">
        <f>Com1I[[#This Row],[Default Average]]*P$30</f>
        <v>0</v>
      </c>
      <c r="Q39" s="56">
        <f>Com1I[[#This Row],[Default Average]]*Q$30</f>
        <v>0</v>
      </c>
      <c r="R39" s="196">
        <v>0</v>
      </c>
      <c r="S39" s="56">
        <f>Com1I[[#This Row],[Default Average]]*S$30</f>
        <v>0</v>
      </c>
    </row>
    <row r="40" spans="3:19" x14ac:dyDescent="0.3">
      <c r="C40" s="291">
        <v>144.07818181818183</v>
      </c>
      <c r="E40" s="55">
        <v>0.1</v>
      </c>
      <c r="F40" s="195" cm="1">
        <f t="array" ref="F40">F$30*(CPI*C40)+CPI*C40*(IndirectCom)</f>
        <v>101.62987035168078</v>
      </c>
      <c r="G40" s="195" cm="1">
        <f t="array" ref="G40">G$30*(CPI*C40)+CPI*C40*(IndirectCom)</f>
        <v>130.66697616644672</v>
      </c>
      <c r="H40" s="196" cm="1">
        <f t="array" ref="H40">H$30*(CPI*C40)+CPI*C40*(IndirectCom)</f>
        <v>188.74118779597859</v>
      </c>
      <c r="I40" s="195" cm="1">
        <f t="array" ref="I40">I$30*(CPI*C40)+CPI*C40*(IndirectCom)</f>
        <v>261.33395233289343</v>
      </c>
      <c r="O40" s="55">
        <v>0.1</v>
      </c>
      <c r="P40" s="56">
        <f>Com1I[[#This Row],[Default Average]]*P$30</f>
        <v>0</v>
      </c>
      <c r="Q40" s="56">
        <f>Com1I[[#This Row],[Default Average]]*Q$30</f>
        <v>0</v>
      </c>
      <c r="R40" s="196">
        <v>0</v>
      </c>
      <c r="S40" s="56">
        <f>Com1I[[#This Row],[Default Average]]*S$30</f>
        <v>0</v>
      </c>
    </row>
    <row r="41" spans="3:19" x14ac:dyDescent="0.3">
      <c r="C41" s="291">
        <v>216.11727272727276</v>
      </c>
      <c r="E41" s="55">
        <v>0.15</v>
      </c>
      <c r="F41" s="195" cm="1">
        <f t="array" ref="F41">F$30*(CPI*C41)+CPI*C41*(IndirectCom)</f>
        <v>152.44480552752117</v>
      </c>
      <c r="G41" s="195" cm="1">
        <f t="array" ref="G41">G$30*(CPI*C41)+CPI*C41*(IndirectCom)</f>
        <v>196.00046424967007</v>
      </c>
      <c r="H41" s="196" cm="1">
        <f t="array" ref="H41">H$30*(CPI*C41)+CPI*C41*(IndirectCom)</f>
        <v>283.11178169396794</v>
      </c>
      <c r="I41" s="195" cm="1">
        <f t="array" ref="I41">I$30*(CPI*C41)+CPI*C41*(IndirectCom)</f>
        <v>392.0009284993402</v>
      </c>
      <c r="O41" s="55">
        <v>0.15</v>
      </c>
      <c r="P41" s="56">
        <f>Com1I[[#This Row],[Default Average]]*P$30</f>
        <v>0</v>
      </c>
      <c r="Q41" s="56">
        <f>Com1I[[#This Row],[Default Average]]*Q$30</f>
        <v>0</v>
      </c>
      <c r="R41" s="196">
        <v>0</v>
      </c>
      <c r="S41" s="56">
        <f>Com1I[[#This Row],[Default Average]]*S$30</f>
        <v>0</v>
      </c>
    </row>
    <row r="42" spans="3:19" x14ac:dyDescent="0.3">
      <c r="C42" s="291">
        <v>288.15636363636366</v>
      </c>
      <c r="E42" s="55">
        <v>0.2</v>
      </c>
      <c r="F42" s="195" cm="1">
        <f t="array" ref="F42">F$30*(CPI*C42)+CPI*C42*(IndirectCom)</f>
        <v>203.25974070336156</v>
      </c>
      <c r="G42" s="195" cm="1">
        <f t="array" ref="G42">G$30*(CPI*C42)+CPI*C42*(IndirectCom)</f>
        <v>261.33395233289343</v>
      </c>
      <c r="H42" s="196" cm="1">
        <f t="array" ref="H42">H$30*(CPI*C42)+CPI*C42*(IndirectCom)</f>
        <v>377.48237559195718</v>
      </c>
      <c r="I42" s="195" cm="1">
        <f t="array" ref="I42">I$30*(CPI*C42)+CPI*C42*(IndirectCom)</f>
        <v>522.66790466578686</v>
      </c>
      <c r="O42" s="55">
        <v>0.2</v>
      </c>
      <c r="P42" s="56">
        <f>Com1I[[#This Row],[Default Average]]*P$30</f>
        <v>0</v>
      </c>
      <c r="Q42" s="56">
        <f>Com1I[[#This Row],[Default Average]]*Q$30</f>
        <v>0</v>
      </c>
      <c r="R42" s="196">
        <v>0</v>
      </c>
      <c r="S42" s="56">
        <f>Com1I[[#This Row],[Default Average]]*S$30</f>
        <v>0</v>
      </c>
    </row>
    <row r="43" spans="3:19" x14ac:dyDescent="0.3">
      <c r="C43" s="291">
        <v>360.1954545454546</v>
      </c>
      <c r="E43" s="55">
        <v>0.25</v>
      </c>
      <c r="F43" s="195" cm="1">
        <f t="array" ref="F43">F$30*(CPI*C43)+CPI*C43*(IndirectCom)</f>
        <v>254.074675879202</v>
      </c>
      <c r="G43" s="195" cm="1">
        <f t="array" ref="G43">G$30*(CPI*C43)+CPI*C43*(IndirectCom)</f>
        <v>326.66744041611685</v>
      </c>
      <c r="H43" s="196" cm="1">
        <f t="array" ref="H43">H$30*(CPI*C43)+CPI*C43*(IndirectCom)</f>
        <v>471.85296948994653</v>
      </c>
      <c r="I43" s="195" cm="1">
        <f t="array" ref="I43">I$30*(CPI*C43)+CPI*C43*(IndirectCom)</f>
        <v>653.33488083223369</v>
      </c>
      <c r="O43" s="55">
        <v>0.25</v>
      </c>
      <c r="P43" s="56">
        <f>Com1I[[#This Row],[Default Average]]*P$30</f>
        <v>0</v>
      </c>
      <c r="Q43" s="56">
        <f>Com1I[[#This Row],[Default Average]]*Q$30</f>
        <v>0</v>
      </c>
      <c r="R43" s="196">
        <v>0</v>
      </c>
      <c r="S43" s="56">
        <f>Com1I[[#This Row],[Default Average]]*S$30</f>
        <v>0</v>
      </c>
    </row>
    <row r="44" spans="3:19" x14ac:dyDescent="0.3">
      <c r="C44" s="291">
        <v>390.41818181818184</v>
      </c>
      <c r="E44" s="55">
        <v>0.3</v>
      </c>
      <c r="F44" s="195" cm="1">
        <f t="array" ref="F44">F$30*(CPI*C44)+CPI*C44*(IndirectCom)</f>
        <v>275.39318375902496</v>
      </c>
      <c r="G44" s="195" cm="1">
        <f t="array" ref="G44">G$30*(CPI*C44)+CPI*C44*(IndirectCom)</f>
        <v>354.07695054731778</v>
      </c>
      <c r="H44" s="196" cm="1">
        <f t="array" ref="H44">H$30*(CPI*C44)+CPI*C44*(IndirectCom)</f>
        <v>511.44448412390341</v>
      </c>
      <c r="I44" s="195" cm="1">
        <f t="array" ref="I44">I$30*(CPI*C44)+CPI*C44*(IndirectCom)</f>
        <v>708.15390109463556</v>
      </c>
      <c r="O44" s="55">
        <v>0.3</v>
      </c>
      <c r="P44" s="56">
        <f>Com1I[[#This Row],[Default Average]]*P$30</f>
        <v>0</v>
      </c>
      <c r="Q44" s="56">
        <f>Com1I[[#This Row],[Default Average]]*Q$30</f>
        <v>0</v>
      </c>
      <c r="R44" s="196">
        <v>0</v>
      </c>
      <c r="S44" s="56">
        <f>Com1I[[#This Row],[Default Average]]*S$30</f>
        <v>0</v>
      </c>
    </row>
    <row r="45" spans="3:19" x14ac:dyDescent="0.3">
      <c r="C45" s="291">
        <v>420.64090909090913</v>
      </c>
      <c r="E45" s="55">
        <v>0.35</v>
      </c>
      <c r="F45" s="195" cm="1">
        <f t="array" ref="F45">F$30*(CPI*C45)+CPI*C45*(IndirectCom)</f>
        <v>296.71169163884792</v>
      </c>
      <c r="G45" s="195" cm="1">
        <f t="array" ref="G45">G$30*(CPI*C45)+CPI*C45*(IndirectCom)</f>
        <v>381.48646067851882</v>
      </c>
      <c r="H45" s="196" cm="1">
        <f t="array" ref="H45">H$30*(CPI*C45)+CPI*C45*(IndirectCom)</f>
        <v>551.03599875786051</v>
      </c>
      <c r="I45" s="195" cm="1">
        <f t="array" ref="I45">I$30*(CPI*C45)+CPI*C45*(IndirectCom)</f>
        <v>762.97292135703754</v>
      </c>
      <c r="O45" s="55">
        <v>0.35</v>
      </c>
      <c r="P45" s="56">
        <f>Com1I[[#This Row],[Default Average]]*P$30</f>
        <v>0</v>
      </c>
      <c r="Q45" s="56">
        <f>Com1I[[#This Row],[Default Average]]*Q$30</f>
        <v>0</v>
      </c>
      <c r="R45" s="196">
        <v>0</v>
      </c>
      <c r="S45" s="56">
        <f>Com1I[[#This Row],[Default Average]]*S$30</f>
        <v>0</v>
      </c>
    </row>
    <row r="46" spans="3:19" x14ac:dyDescent="0.3">
      <c r="C46" s="291">
        <v>450.86363636363637</v>
      </c>
      <c r="E46" s="55">
        <v>0.4</v>
      </c>
      <c r="F46" s="195" cm="1">
        <f t="array" ref="F46">F$30*(CPI*C46)+CPI*C46*(IndirectCom)</f>
        <v>318.03019951867094</v>
      </c>
      <c r="G46" s="195" cm="1">
        <f t="array" ref="G46">G$30*(CPI*C46)+CPI*C46*(IndirectCom)</f>
        <v>408.89597080971976</v>
      </c>
      <c r="H46" s="196" cm="1">
        <f t="array" ref="H46">H$30*(CPI*C46)+CPI*C46*(IndirectCom)</f>
        <v>590.6275133918175</v>
      </c>
      <c r="I46" s="195" cm="1">
        <f t="array" ref="I46">I$30*(CPI*C46)+CPI*C46*(IndirectCom)</f>
        <v>817.79194161943951</v>
      </c>
      <c r="O46" s="55">
        <v>0.4</v>
      </c>
      <c r="P46" s="56">
        <f>Com1I[[#This Row],[Default Average]]*P$30</f>
        <v>0</v>
      </c>
      <c r="Q46" s="56">
        <f>Com1I[[#This Row],[Default Average]]*Q$30</f>
        <v>0</v>
      </c>
      <c r="R46" s="196">
        <v>0</v>
      </c>
      <c r="S46" s="56">
        <f>Com1I[[#This Row],[Default Average]]*S$30</f>
        <v>0</v>
      </c>
    </row>
    <row r="47" spans="3:19" x14ac:dyDescent="0.3">
      <c r="C47" s="291">
        <v>481.08636363636367</v>
      </c>
      <c r="E47" s="55">
        <v>0.45</v>
      </c>
      <c r="F47" s="195" cm="1">
        <f t="array" ref="F47">F$30*(CPI*C47)+CPI*C47*(IndirectCom)</f>
        <v>339.34870739849396</v>
      </c>
      <c r="G47" s="195" cm="1">
        <f t="array" ref="G47">G$30*(CPI*C47)+CPI*C47*(IndirectCom)</f>
        <v>436.3054809409208</v>
      </c>
      <c r="H47" s="196" cm="1">
        <f t="array" ref="H47">H$30*(CPI*C47)+CPI*C47*(IndirectCom)</f>
        <v>630.21902802577449</v>
      </c>
      <c r="I47" s="195" cm="1">
        <f t="array" ref="I47">I$30*(CPI*C47)+CPI*C47*(IndirectCom)</f>
        <v>872.6109618818416</v>
      </c>
      <c r="O47" s="55">
        <v>0.45</v>
      </c>
      <c r="P47" s="56">
        <f>Com1I[[#This Row],[Default Average]]*P$30</f>
        <v>0</v>
      </c>
      <c r="Q47" s="56">
        <f>Com1I[[#This Row],[Default Average]]*Q$30</f>
        <v>0</v>
      </c>
      <c r="R47" s="196">
        <v>0</v>
      </c>
      <c r="S47" s="56">
        <f>Com1I[[#This Row],[Default Average]]*S$30</f>
        <v>0</v>
      </c>
    </row>
    <row r="48" spans="3:19" x14ac:dyDescent="0.3">
      <c r="C48" s="291">
        <v>511.30909090909091</v>
      </c>
      <c r="E48" s="55">
        <v>0.5</v>
      </c>
      <c r="F48" s="195" cm="1">
        <f t="array" ref="F48">F$30*(CPI*C48)+CPI*C48*(IndirectCom)</f>
        <v>360.66721527831692</v>
      </c>
      <c r="G48" s="195" cm="1">
        <f t="array" ref="G48">G$30*(CPI*C48)+CPI*C48*(IndirectCom)</f>
        <v>463.71499107212173</v>
      </c>
      <c r="H48" s="196" cm="1">
        <f t="array" ref="H48">H$30*(CPI*C48)+CPI*C48*(IndirectCom)</f>
        <v>669.81054265973148</v>
      </c>
      <c r="I48" s="195" cm="1">
        <f t="array" ref="I48">I$30*(CPI*C48)+CPI*C48*(IndirectCom)</f>
        <v>927.42998214424358</v>
      </c>
      <c r="O48" s="55">
        <v>0.5</v>
      </c>
      <c r="P48" s="56">
        <f>Com1I[[#This Row],[Default Average]]*P$30</f>
        <v>0</v>
      </c>
      <c r="Q48" s="56">
        <f>Com1I[[#This Row],[Default Average]]*Q$30</f>
        <v>0</v>
      </c>
      <c r="R48" s="196">
        <v>0</v>
      </c>
      <c r="S48" s="56">
        <f>Com1I[[#This Row],[Default Average]]*S$30</f>
        <v>0</v>
      </c>
    </row>
    <row r="49" spans="3:19" x14ac:dyDescent="0.3">
      <c r="C49" s="291">
        <v>541.53181818181827</v>
      </c>
      <c r="E49" s="55">
        <v>0.55000000000000004</v>
      </c>
      <c r="F49" s="195" cm="1">
        <f t="array" ref="F49">F$30*(CPI*C49)+CPI*C49*(IndirectCom)</f>
        <v>381.98572315813999</v>
      </c>
      <c r="G49" s="195" cm="1">
        <f t="array" ref="G49">G$30*(CPI*C49)+CPI*C49*(IndirectCom)</f>
        <v>491.12450120332278</v>
      </c>
      <c r="H49" s="196" cm="1">
        <f t="array" ref="H49">H$30*(CPI*C49)+CPI*C49*(IndirectCom)</f>
        <v>709.40205729368859</v>
      </c>
      <c r="I49" s="195" cm="1">
        <f t="array" ref="I49">I$30*(CPI*C49)+CPI*C49*(IndirectCom)</f>
        <v>982.24900240664567</v>
      </c>
      <c r="O49" s="55">
        <v>0.55000000000000004</v>
      </c>
      <c r="P49" s="56">
        <f>Com1I[[#This Row],[Default Average]]*P$30</f>
        <v>0</v>
      </c>
      <c r="Q49" s="56">
        <f>Com1I[[#This Row],[Default Average]]*Q$30</f>
        <v>0</v>
      </c>
      <c r="R49" s="196">
        <v>0</v>
      </c>
      <c r="S49" s="56">
        <f>Com1I[[#This Row],[Default Average]]*S$30</f>
        <v>0</v>
      </c>
    </row>
    <row r="50" spans="3:19" x14ac:dyDescent="0.3">
      <c r="C50" s="291">
        <v>571.75454545454545</v>
      </c>
      <c r="E50" s="55">
        <v>0.6</v>
      </c>
      <c r="F50" s="195" cm="1">
        <f t="array" ref="F50">F$30*(CPI*C50)+CPI*C50*(IndirectCom)</f>
        <v>403.30423103796289</v>
      </c>
      <c r="G50" s="195" cm="1">
        <f t="array" ref="G50">G$30*(CPI*C50)+CPI*C50*(IndirectCom)</f>
        <v>518.53401133452371</v>
      </c>
      <c r="H50" s="196" cm="1">
        <f t="array" ref="H50">H$30*(CPI*C50)+CPI*C50*(IndirectCom)</f>
        <v>748.99357192764535</v>
      </c>
      <c r="I50" s="195" cm="1">
        <f t="array" ref="I50">I$30*(CPI*C50)+CPI*C50*(IndirectCom)</f>
        <v>1037.0680226690474</v>
      </c>
      <c r="O50" s="55">
        <v>0.6</v>
      </c>
      <c r="P50" s="56">
        <f>Com1I[[#This Row],[Default Average]]*P$30</f>
        <v>0</v>
      </c>
      <c r="Q50" s="56">
        <f>Com1I[[#This Row],[Default Average]]*Q$30</f>
        <v>0</v>
      </c>
      <c r="R50" s="196">
        <v>0</v>
      </c>
      <c r="S50" s="56">
        <f>Com1I[[#This Row],[Default Average]]*S$30</f>
        <v>0</v>
      </c>
    </row>
    <row r="51" spans="3:19" x14ac:dyDescent="0.3">
      <c r="C51" s="291">
        <v>601.97727272727275</v>
      </c>
      <c r="E51" s="55">
        <v>0.65</v>
      </c>
      <c r="F51" s="195" cm="1">
        <f t="array" ref="F51">F$30*(CPI*C51)+CPI*C51*(IndirectCom)</f>
        <v>424.62273891778591</v>
      </c>
      <c r="G51" s="195" cm="1">
        <f t="array" ref="G51">G$30*(CPI*C51)+CPI*C51*(IndirectCom)</f>
        <v>545.94352146572476</v>
      </c>
      <c r="H51" s="196" cm="1">
        <f t="array" ref="H51">H$30*(CPI*C51)+CPI*C51*(IndirectCom)</f>
        <v>788.58508656160234</v>
      </c>
      <c r="I51" s="195" cm="1">
        <f t="array" ref="I51">I$30*(CPI*C51)+CPI*C51*(IndirectCom)</f>
        <v>1091.8870429314495</v>
      </c>
      <c r="O51" s="55">
        <v>0.65</v>
      </c>
      <c r="P51" s="56">
        <f>Com1I[[#This Row],[Default Average]]*P$30</f>
        <v>0</v>
      </c>
      <c r="Q51" s="56">
        <f>Com1I[[#This Row],[Default Average]]*Q$30</f>
        <v>0</v>
      </c>
      <c r="R51" s="196">
        <v>0</v>
      </c>
      <c r="S51" s="56">
        <f>Com1I[[#This Row],[Default Average]]*S$30</f>
        <v>0</v>
      </c>
    </row>
    <row r="52" spans="3:19" x14ac:dyDescent="0.3">
      <c r="C52" s="291">
        <v>632.20000000000005</v>
      </c>
      <c r="E52" s="55">
        <v>0.7</v>
      </c>
      <c r="F52" s="195" cm="1">
        <f t="array" ref="F52">F$30*(CPI*C52)+CPI*C52*(IndirectCom)</f>
        <v>445.94124679760898</v>
      </c>
      <c r="G52" s="195" cm="1">
        <f t="array" ref="G52">G$30*(CPI*C52)+CPI*C52*(IndirectCom)</f>
        <v>573.3530315969258</v>
      </c>
      <c r="H52" s="196" cm="1">
        <f t="array" ref="H52">H$30*(CPI*C52)+CPI*C52*(IndirectCom)</f>
        <v>828.17660119555944</v>
      </c>
      <c r="I52" s="195" cm="1">
        <f t="array" ref="I52">I$30*(CPI*C52)+CPI*C52*(IndirectCom)</f>
        <v>1146.7060631938516</v>
      </c>
      <c r="O52" s="55">
        <v>0.7</v>
      </c>
      <c r="P52" s="56">
        <f>Com1I[[#This Row],[Default Average]]*P$30</f>
        <v>0</v>
      </c>
      <c r="Q52" s="56">
        <f>Com1I[[#This Row],[Default Average]]*Q$30</f>
        <v>0</v>
      </c>
      <c r="R52" s="196">
        <v>0</v>
      </c>
      <c r="S52" s="56">
        <f>Com1I[[#This Row],[Default Average]]*S$30</f>
        <v>0</v>
      </c>
    </row>
    <row r="53" spans="3:19" x14ac:dyDescent="0.3">
      <c r="C53" s="291">
        <v>662.42272727272734</v>
      </c>
      <c r="E53" s="55">
        <v>0.75</v>
      </c>
      <c r="F53" s="195" cm="1">
        <f t="array" ref="F53">F$30*(CPI*C53)+CPI*C53*(IndirectCom)</f>
        <v>467.25975467743194</v>
      </c>
      <c r="G53" s="195" cm="1">
        <f t="array" ref="G53">G$30*(CPI*C53)+CPI*C53*(IndirectCom)</f>
        <v>600.76254172812673</v>
      </c>
      <c r="H53" s="196" cm="1">
        <f t="array" ref="H53">H$30*(CPI*C53)+CPI*C53*(IndirectCom)</f>
        <v>867.76811582951643</v>
      </c>
      <c r="I53" s="195" cm="1">
        <f t="array" ref="I53">I$30*(CPI*C53)+CPI*C53*(IndirectCom)</f>
        <v>1201.5250834562535</v>
      </c>
      <c r="O53" s="55">
        <v>0.75</v>
      </c>
      <c r="P53" s="56">
        <f>Com1I[[#This Row],[Default Average]]*P$30</f>
        <v>0</v>
      </c>
      <c r="Q53" s="56">
        <f>Com1I[[#This Row],[Default Average]]*Q$30</f>
        <v>0</v>
      </c>
      <c r="R53" s="196">
        <v>0</v>
      </c>
      <c r="S53" s="56">
        <f>Com1I[[#This Row],[Default Average]]*S$30</f>
        <v>0</v>
      </c>
    </row>
    <row r="54" spans="3:19" x14ac:dyDescent="0.3">
      <c r="C54" s="291">
        <v>695.76681818181828</v>
      </c>
      <c r="E54" s="55">
        <v>0.8</v>
      </c>
      <c r="F54" s="195" cm="1">
        <f t="array" ref="F54">F$30*(CPI*C54)+CPI*C54*(IndirectCom)</f>
        <v>490.7800100923842</v>
      </c>
      <c r="G54" s="195" cm="1">
        <f t="array" ref="G54">G$30*(CPI*C54)+CPI*C54*(IndirectCom)</f>
        <v>631.00287011877958</v>
      </c>
      <c r="H54" s="196" cm="1">
        <f t="array" ref="H54">H$30*(CPI*C54)+CPI*C54*(IndirectCom)</f>
        <v>911.44859017157069</v>
      </c>
      <c r="I54" s="195" cm="1">
        <f t="array" ref="I54">I$30*(CPI*C54)+CPI*C54*(IndirectCom)</f>
        <v>1262.0057402375594</v>
      </c>
      <c r="O54" s="55">
        <v>0.8</v>
      </c>
      <c r="P54" s="56">
        <f>Com1I[[#This Row],[Default Average]]*P$30</f>
        <v>0</v>
      </c>
      <c r="Q54" s="56">
        <f>Com1I[[#This Row],[Default Average]]*Q$30</f>
        <v>0</v>
      </c>
      <c r="R54" s="196">
        <v>0</v>
      </c>
      <c r="S54" s="56">
        <f>Com1I[[#This Row],[Default Average]]*S$30</f>
        <v>0</v>
      </c>
    </row>
    <row r="55" spans="3:19" x14ac:dyDescent="0.3">
      <c r="C55" s="291">
        <v>729.11090909090922</v>
      </c>
      <c r="E55" s="55">
        <v>0.85</v>
      </c>
      <c r="F55" s="195" cm="1">
        <f t="array" ref="F55">F$30*(CPI*C55)+CPI*C55*(IndirectCom)</f>
        <v>514.30026550733658</v>
      </c>
      <c r="G55" s="195" cm="1">
        <f t="array" ref="G55">G$30*(CPI*C55)+CPI*C55*(IndirectCom)</f>
        <v>661.24319850943266</v>
      </c>
      <c r="H55" s="196" cm="1">
        <f t="array" ref="H55">H$30*(CPI*C55)+CPI*C55*(IndirectCom)</f>
        <v>955.12906451362494</v>
      </c>
      <c r="I55" s="195" cm="1">
        <f t="array" ref="I55">I$30*(CPI*C55)+CPI*C55*(IndirectCom)</f>
        <v>1322.4863970188655</v>
      </c>
      <c r="O55" s="55">
        <v>0.85</v>
      </c>
      <c r="P55" s="56">
        <f>Com1I[[#This Row],[Default Average]]*P$30</f>
        <v>0</v>
      </c>
      <c r="Q55" s="56">
        <f>Com1I[[#This Row],[Default Average]]*Q$30</f>
        <v>0</v>
      </c>
      <c r="R55" s="196">
        <v>0</v>
      </c>
      <c r="S55" s="56">
        <f>Com1I[[#This Row],[Default Average]]*S$30</f>
        <v>0</v>
      </c>
    </row>
    <row r="56" spans="3:19" x14ac:dyDescent="0.3">
      <c r="C56" s="291">
        <v>762.45500000000015</v>
      </c>
      <c r="E56" s="55">
        <v>0.9</v>
      </c>
      <c r="F56" s="195" cm="1">
        <f t="array" ref="F56">F$30*(CPI*C56)+CPI*C56*(IndirectCom)</f>
        <v>537.82052092228878</v>
      </c>
      <c r="G56" s="195" cm="1">
        <f t="array" ref="G56">G$30*(CPI*C56)+CPI*C56*(IndirectCom)</f>
        <v>691.48352690008551</v>
      </c>
      <c r="H56" s="196" cm="1">
        <f t="array" ref="H56">H$30*(CPI*C56)+CPI*C56*(IndirectCom)</f>
        <v>998.80953885567919</v>
      </c>
      <c r="I56" s="195" cm="1">
        <f t="array" ref="I56">I$30*(CPI*C56)+CPI*C56*(IndirectCom)</f>
        <v>1382.967053800171</v>
      </c>
      <c r="O56" s="55">
        <v>0.9</v>
      </c>
      <c r="P56" s="56">
        <f>Com1I[[#This Row],[Default Average]]*P$30</f>
        <v>0</v>
      </c>
      <c r="Q56" s="56">
        <f>Com1I[[#This Row],[Default Average]]*Q$30</f>
        <v>0</v>
      </c>
      <c r="R56" s="196">
        <v>0</v>
      </c>
      <c r="S56" s="56">
        <f>Com1I[[#This Row],[Default Average]]*S$30</f>
        <v>0</v>
      </c>
    </row>
    <row r="57" spans="3:19" x14ac:dyDescent="0.3">
      <c r="C57" s="291">
        <v>795.79909090909098</v>
      </c>
      <c r="E57" s="55">
        <v>0.95</v>
      </c>
      <c r="F57" s="195" cm="1">
        <f t="array" ref="F57">F$30*(CPI*C57)+CPI*C57*(IndirectCom)</f>
        <v>561.34077633724098</v>
      </c>
      <c r="G57" s="195" cm="1">
        <f t="array" ref="G57">G$30*(CPI*C57)+CPI*C57*(IndirectCom)</f>
        <v>721.72385529073836</v>
      </c>
      <c r="H57" s="196" cm="1">
        <f t="array" ref="H57">H$30*(CPI*C57)+CPI*C57*(IndirectCom)</f>
        <v>1042.4900131977333</v>
      </c>
      <c r="I57" s="195" cm="1">
        <f t="array" ref="I57">I$30*(CPI*C57)+CPI*C57*(IndirectCom)</f>
        <v>1443.4477105814767</v>
      </c>
      <c r="O57" s="55">
        <v>0.95</v>
      </c>
      <c r="P57" s="56">
        <f>Com1I[[#This Row],[Default Average]]*P$30</f>
        <v>0</v>
      </c>
      <c r="Q57" s="56">
        <f>Com1I[[#This Row],[Default Average]]*Q$30</f>
        <v>0</v>
      </c>
      <c r="R57" s="196">
        <v>0</v>
      </c>
      <c r="S57" s="56">
        <f>Com1I[[#This Row],[Default Average]]*S$30</f>
        <v>0</v>
      </c>
    </row>
    <row r="58" spans="3:19" x14ac:dyDescent="0.3">
      <c r="C58" s="291">
        <v>829.14318181818192</v>
      </c>
      <c r="E58" s="55">
        <v>1</v>
      </c>
      <c r="F58" s="195" cm="1">
        <f t="array" ref="F58">F$30*(CPI*C58)+CPI*C58*(IndirectCom)</f>
        <v>584.86103175219318</v>
      </c>
      <c r="G58" s="195" cm="1">
        <f t="array" ref="G58">G$30*(CPI*C58)+CPI*C58*(IndirectCom)</f>
        <v>751.96418368139121</v>
      </c>
      <c r="H58" s="196" cm="1">
        <f t="array" ref="H58">H$30*(CPI*C58)+CPI*C58*(IndirectCom)</f>
        <v>1086.1704875397875</v>
      </c>
      <c r="I58" s="195" cm="1">
        <f t="array" ref="I58">I$30*(CPI*C58)+CPI*C58*(IndirectCom)</f>
        <v>1503.9283673627826</v>
      </c>
      <c r="O58" s="55">
        <v>1</v>
      </c>
      <c r="P58" s="56">
        <f>Com1I[[#This Row],[Default Average]]*P$30</f>
        <v>0</v>
      </c>
      <c r="Q58" s="56">
        <f>Com1I[[#This Row],[Default Average]]*Q$30</f>
        <v>0</v>
      </c>
      <c r="R58" s="196">
        <v>0</v>
      </c>
      <c r="S58" s="56">
        <f>Com1I[[#This Row],[Default Average]]*S$30</f>
        <v>0</v>
      </c>
    </row>
    <row r="59" spans="3:19" x14ac:dyDescent="0.3">
      <c r="C59" s="291">
        <v>862.48727272727285</v>
      </c>
      <c r="E59" s="55">
        <v>1.05</v>
      </c>
      <c r="F59" s="195" cm="1">
        <f t="array" ref="F59">F$30*(CPI*C59)+CPI*C59*(IndirectCom)</f>
        <v>608.3812871671455</v>
      </c>
      <c r="G59" s="195" cm="1">
        <f t="array" ref="G59">G$30*(CPI*C59)+CPI*C59*(IndirectCom)</f>
        <v>782.20451207204417</v>
      </c>
      <c r="H59" s="196" cm="1">
        <f t="array" ref="H59">H$30*(CPI*C59)+CPI*C59*(IndirectCom)</f>
        <v>1129.8509618818416</v>
      </c>
      <c r="I59" s="195" cm="1">
        <f t="array" ref="I59">I$30*(CPI*C59)+CPI*C59*(IndirectCom)</f>
        <v>1564.4090241440886</v>
      </c>
      <c r="O59" s="55">
        <v>1.05</v>
      </c>
      <c r="P59" s="56">
        <f>Com1I[[#This Row],[Default Average]]*P$30</f>
        <v>0</v>
      </c>
      <c r="Q59" s="56">
        <f>Com1I[[#This Row],[Default Average]]*Q$30</f>
        <v>0</v>
      </c>
      <c r="R59" s="196">
        <v>0</v>
      </c>
      <c r="S59" s="56">
        <f>Com1I[[#This Row],[Default Average]]*S$30</f>
        <v>0</v>
      </c>
    </row>
    <row r="60" spans="3:19" x14ac:dyDescent="0.3">
      <c r="C60" s="291">
        <v>895.83136363636379</v>
      </c>
      <c r="E60" s="55">
        <v>1.1000000000000001</v>
      </c>
      <c r="F60" s="195" cm="1">
        <f t="array" ref="F60">F$30*(CPI*C60)+CPI*C60*(IndirectCom)</f>
        <v>631.90154258209782</v>
      </c>
      <c r="G60" s="195" cm="1">
        <f t="array" ref="G60">G$30*(CPI*C60)+CPI*C60*(IndirectCom)</f>
        <v>812.44484046269724</v>
      </c>
      <c r="H60" s="196" cm="1">
        <f t="array" ref="H60">H$30*(CPI*C60)+CPI*C60*(IndirectCom)</f>
        <v>1173.531436223896</v>
      </c>
      <c r="I60" s="195" cm="1">
        <f t="array" ref="I60">I$30*(CPI*C60)+CPI*C60*(IndirectCom)</f>
        <v>1624.8896809253943</v>
      </c>
      <c r="O60" s="55">
        <v>1.1000000000000001</v>
      </c>
      <c r="P60" s="56">
        <f>Com1I[[#This Row],[Default Average]]*P$30</f>
        <v>0</v>
      </c>
      <c r="Q60" s="56">
        <f>Com1I[[#This Row],[Default Average]]*Q$30</f>
        <v>0</v>
      </c>
      <c r="R60" s="196">
        <v>0</v>
      </c>
      <c r="S60" s="56">
        <f>Com1I[[#This Row],[Default Average]]*S$30</f>
        <v>0</v>
      </c>
    </row>
    <row r="61" spans="3:19" x14ac:dyDescent="0.3">
      <c r="C61" s="291">
        <v>929.17545454545461</v>
      </c>
      <c r="E61" s="55">
        <v>1.1499999999999999</v>
      </c>
      <c r="F61" s="195" cm="1">
        <f t="array" ref="F61">F$30*(CPI*C61)+CPI*C61*(IndirectCom)</f>
        <v>655.42179799705002</v>
      </c>
      <c r="G61" s="195" cm="1">
        <f t="array" ref="G61">G$30*(CPI*C61)+CPI*C61*(IndirectCom)</f>
        <v>842.68516885334998</v>
      </c>
      <c r="H61" s="196" cm="1">
        <f t="array" ref="H61">H$30*(CPI*C61)+CPI*C61*(IndirectCom)</f>
        <v>1217.2119105659499</v>
      </c>
      <c r="I61" s="195" cm="1">
        <f t="array" ref="I61">I$30*(CPI*C61)+CPI*C61*(IndirectCom)</f>
        <v>1685.3703377067</v>
      </c>
      <c r="O61" s="55">
        <v>1.1499999999999999</v>
      </c>
      <c r="P61" s="56">
        <f>Com1I[[#This Row],[Default Average]]*P$30</f>
        <v>0</v>
      </c>
      <c r="Q61" s="56">
        <f>Com1I[[#This Row],[Default Average]]*Q$30</f>
        <v>0</v>
      </c>
      <c r="R61" s="196">
        <v>0</v>
      </c>
      <c r="S61" s="56">
        <f>Com1I[[#This Row],[Default Average]]*S$30</f>
        <v>0</v>
      </c>
    </row>
    <row r="62" spans="3:19" x14ac:dyDescent="0.3">
      <c r="C62" s="291">
        <v>962.51954545454555</v>
      </c>
      <c r="E62" s="55">
        <v>1.2</v>
      </c>
      <c r="F62" s="195" cm="1">
        <f t="array" ref="F62">F$30*(CPI*C62)+CPI*C62*(IndirectCom)</f>
        <v>678.94205341200222</v>
      </c>
      <c r="G62" s="195" cm="1">
        <f t="array" ref="G62">G$30*(CPI*C62)+CPI*C62*(IndirectCom)</f>
        <v>872.92549724400283</v>
      </c>
      <c r="H62" s="196" cm="1">
        <f t="array" ref="H62">H$30*(CPI*C62)+CPI*C62*(IndirectCom)</f>
        <v>1260.8923849080043</v>
      </c>
      <c r="I62" s="195" cm="1">
        <f t="array" ref="I62">I$30*(CPI*C62)+CPI*C62*(IndirectCom)</f>
        <v>1745.8509944880059</v>
      </c>
      <c r="O62" s="55">
        <v>1.2</v>
      </c>
      <c r="P62" s="56">
        <f>Com1I[[#This Row],[Default Average]]*P$30</f>
        <v>0</v>
      </c>
      <c r="Q62" s="56">
        <f>Com1I[[#This Row],[Default Average]]*Q$30</f>
        <v>0</v>
      </c>
      <c r="R62" s="196">
        <v>0</v>
      </c>
      <c r="S62" s="56">
        <f>Com1I[[#This Row],[Default Average]]*S$30</f>
        <v>0</v>
      </c>
    </row>
    <row r="63" spans="3:19" x14ac:dyDescent="0.3">
      <c r="C63" s="291">
        <v>995.86363636363649</v>
      </c>
      <c r="E63" s="55">
        <v>1.25</v>
      </c>
      <c r="F63" s="195" cm="1">
        <f t="array" ref="F63">F$30*(CPI*C63)+CPI*C63*(IndirectCom)</f>
        <v>702.46230882695454</v>
      </c>
      <c r="G63" s="195" cm="1">
        <f t="array" ref="G63">G$30*(CPI*C63)+CPI*C63*(IndirectCom)</f>
        <v>903.16582563465579</v>
      </c>
      <c r="H63" s="196" cm="1">
        <f t="array" ref="H63">H$30*(CPI*C63)+CPI*C63*(IndirectCom)</f>
        <v>1304.5728592500584</v>
      </c>
      <c r="I63" s="195" cm="1">
        <f t="array" ref="I63">I$30*(CPI*C63)+CPI*C63*(IndirectCom)</f>
        <v>1806.3316512693118</v>
      </c>
      <c r="O63" s="55">
        <v>1.25</v>
      </c>
      <c r="P63" s="56">
        <f>Com1I[[#This Row],[Default Average]]*P$30</f>
        <v>0</v>
      </c>
      <c r="Q63" s="56">
        <f>Com1I[[#This Row],[Default Average]]*Q$30</f>
        <v>0</v>
      </c>
      <c r="R63" s="196">
        <v>0</v>
      </c>
      <c r="S63" s="56">
        <f>Com1I[[#This Row],[Default Average]]*S$30</f>
        <v>0</v>
      </c>
    </row>
    <row r="64" spans="3:19" x14ac:dyDescent="0.3">
      <c r="C64" s="291">
        <v>1008.0353030303031</v>
      </c>
      <c r="E64" s="55">
        <v>1.3</v>
      </c>
      <c r="F64" s="195" cm="1">
        <f t="array" ref="F64">F$30*(CPI*C64)+CPI*C64*(IndirectCom)</f>
        <v>711.0479592681728</v>
      </c>
      <c r="G64" s="195" cm="1">
        <f t="array" ref="G64">G$30*(CPI*C64)+CPI*C64*(IndirectCom)</f>
        <v>914.2045190590793</v>
      </c>
      <c r="H64" s="196" cm="1">
        <f t="array" ref="H64">H$30*(CPI*C64)+CPI*C64*(IndirectCom)</f>
        <v>1320.5176386408923</v>
      </c>
      <c r="I64" s="195" cm="1">
        <f t="array" ref="I64">I$30*(CPI*C64)+CPI*C64*(IndirectCom)</f>
        <v>1828.4090381181586</v>
      </c>
      <c r="O64" s="55">
        <v>1.3</v>
      </c>
      <c r="P64" s="56">
        <f>Com1I[[#This Row],[Default Average]]*P$30</f>
        <v>0</v>
      </c>
      <c r="Q64" s="56">
        <f>Com1I[[#This Row],[Default Average]]*Q$30</f>
        <v>0</v>
      </c>
      <c r="R64" s="196">
        <v>0</v>
      </c>
      <c r="S64" s="56">
        <f>Com1I[[#This Row],[Default Average]]*S$30</f>
        <v>0</v>
      </c>
    </row>
    <row r="65" spans="3:19" x14ac:dyDescent="0.3">
      <c r="C65" s="291">
        <v>1020.2069696969697</v>
      </c>
      <c r="E65" s="55">
        <v>1.35</v>
      </c>
      <c r="F65" s="195" cm="1">
        <f t="array" ref="F65">F$30*(CPI*C65)+CPI*C65*(IndirectCom)</f>
        <v>719.63360970939118</v>
      </c>
      <c r="G65" s="195" cm="1">
        <f t="array" ref="G65">G$30*(CPI*C65)+CPI*C65*(IndirectCom)</f>
        <v>925.24321248350293</v>
      </c>
      <c r="H65" s="196" cm="1">
        <f t="array" ref="H65">H$30*(CPI*C65)+CPI*C65*(IndirectCom)</f>
        <v>1336.4624180317264</v>
      </c>
      <c r="I65" s="195" cm="1">
        <f t="array" ref="I65">I$30*(CPI*C65)+CPI*C65*(IndirectCom)</f>
        <v>1850.4864249670059</v>
      </c>
      <c r="O65" s="55">
        <v>1.35</v>
      </c>
      <c r="P65" s="56">
        <f>Com1I[[#This Row],[Default Average]]*P$30</f>
        <v>0</v>
      </c>
      <c r="Q65" s="56">
        <f>Com1I[[#This Row],[Default Average]]*Q$30</f>
        <v>0</v>
      </c>
      <c r="R65" s="196">
        <v>0</v>
      </c>
      <c r="S65" s="56">
        <f>Com1I[[#This Row],[Default Average]]*S$30</f>
        <v>0</v>
      </c>
    </row>
    <row r="66" spans="3:19" x14ac:dyDescent="0.3">
      <c r="C66" s="291">
        <v>1032.3786363636364</v>
      </c>
      <c r="E66" s="55">
        <v>1.4</v>
      </c>
      <c r="F66" s="195" cm="1">
        <f t="array" ref="F66">F$30*(CPI*C66)+CPI*C66*(IndirectCom)</f>
        <v>728.21926015060944</v>
      </c>
      <c r="G66" s="195" cm="1">
        <f t="array" ref="G66">G$30*(CPI*C66)+CPI*C66*(IndirectCom)</f>
        <v>936.28190590792633</v>
      </c>
      <c r="H66" s="196" cm="1">
        <f t="array" ref="H66">H$30*(CPI*C66)+CPI*C66*(IndirectCom)</f>
        <v>1352.4071974225603</v>
      </c>
      <c r="I66" s="195" cm="1">
        <f t="array" ref="I66">I$30*(CPI*C66)+CPI*C66*(IndirectCom)</f>
        <v>1872.5638118158529</v>
      </c>
      <c r="O66" s="55">
        <v>1.4</v>
      </c>
      <c r="P66" s="56">
        <f>Com1I[[#This Row],[Default Average]]*P$30</f>
        <v>0</v>
      </c>
      <c r="Q66" s="56">
        <f>Com1I[[#This Row],[Default Average]]*Q$30</f>
        <v>0</v>
      </c>
      <c r="R66" s="196">
        <v>0</v>
      </c>
      <c r="S66" s="56">
        <f>Com1I[[#This Row],[Default Average]]*S$30</f>
        <v>0</v>
      </c>
    </row>
    <row r="67" spans="3:19" x14ac:dyDescent="0.3">
      <c r="C67" s="291">
        <v>1044.550303030303</v>
      </c>
      <c r="E67" s="55">
        <v>1.45</v>
      </c>
      <c r="F67" s="195" cm="1">
        <f t="array" ref="F67">F$30*(CPI*C67)+CPI*C67*(IndirectCom)</f>
        <v>736.80491059182782</v>
      </c>
      <c r="G67" s="195" cm="1">
        <f t="array" ref="G67">G$30*(CPI*C67)+CPI*C67*(IndirectCom)</f>
        <v>947.32059933234996</v>
      </c>
      <c r="H67" s="196" cm="1">
        <f t="array" ref="H67">H$30*(CPI*C67)+CPI*C67*(IndirectCom)</f>
        <v>1368.3519768133945</v>
      </c>
      <c r="I67" s="195" cm="1">
        <f t="array" ref="I67">I$30*(CPI*C67)+CPI*C67*(IndirectCom)</f>
        <v>1894.6411986646999</v>
      </c>
      <c r="O67" s="55">
        <v>1.45</v>
      </c>
      <c r="P67" s="56">
        <f>Com1I[[#This Row],[Default Average]]*P$30</f>
        <v>0</v>
      </c>
      <c r="Q67" s="56">
        <f>Com1I[[#This Row],[Default Average]]*Q$30</f>
        <v>0</v>
      </c>
      <c r="R67" s="196">
        <v>0</v>
      </c>
      <c r="S67" s="56">
        <f>Com1I[[#This Row],[Default Average]]*S$30</f>
        <v>0</v>
      </c>
    </row>
    <row r="68" spans="3:19" x14ac:dyDescent="0.3">
      <c r="C68" s="291">
        <v>1056.7219696969696</v>
      </c>
      <c r="E68" s="55">
        <v>1.5</v>
      </c>
      <c r="F68" s="195" cm="1">
        <f t="array" ref="F68">F$30*(CPI*C68)+CPI*C68*(IndirectCom)</f>
        <v>745.39056103304597</v>
      </c>
      <c r="G68" s="195" cm="1">
        <f t="array" ref="G68">G$30*(CPI*C68)+CPI*C68*(IndirectCom)</f>
        <v>958.35929275677336</v>
      </c>
      <c r="H68" s="196" cm="1">
        <f t="array" ref="H68">H$30*(CPI*C68)+CPI*C68*(IndirectCom)</f>
        <v>1384.2967562042284</v>
      </c>
      <c r="I68" s="195" cm="1">
        <f t="array" ref="I68">I$30*(CPI*C68)+CPI*C68*(IndirectCom)</f>
        <v>1916.7185855135469</v>
      </c>
      <c r="O68" s="55">
        <v>1.5</v>
      </c>
      <c r="P68" s="56">
        <f>Com1I[[#This Row],[Default Average]]*P$30</f>
        <v>0</v>
      </c>
      <c r="Q68" s="56">
        <f>Com1I[[#This Row],[Default Average]]*Q$30</f>
        <v>0</v>
      </c>
      <c r="R68" s="196">
        <v>0</v>
      </c>
      <c r="S68" s="56">
        <f>Com1I[[#This Row],[Default Average]]*S$30</f>
        <v>0</v>
      </c>
    </row>
    <row r="69" spans="3:19" x14ac:dyDescent="0.3">
      <c r="C69" s="291">
        <v>1068.8936363636362</v>
      </c>
      <c r="E69" s="55">
        <v>1.55</v>
      </c>
      <c r="F69" s="195" cm="1">
        <f t="array" ref="F69">F$30*(CPI*C69)+CPI*C69*(IndirectCom)</f>
        <v>753.97621147426435</v>
      </c>
      <c r="G69" s="195" cm="1">
        <f t="array" ref="G69">G$30*(CPI*C69)+CPI*C69*(IndirectCom)</f>
        <v>969.39798618119698</v>
      </c>
      <c r="H69" s="196" cm="1">
        <f t="array" ref="H69">H$30*(CPI*C69)+CPI*C69*(IndirectCom)</f>
        <v>1400.2415355950625</v>
      </c>
      <c r="I69" s="195" cm="1">
        <f t="array" ref="I69">I$30*(CPI*C69)+CPI*C69*(IndirectCom)</f>
        <v>1938.7959723623942</v>
      </c>
      <c r="O69" s="55">
        <v>1.55</v>
      </c>
      <c r="P69" s="56">
        <f>Com1I[[#This Row],[Default Average]]*P$30</f>
        <v>0</v>
      </c>
      <c r="Q69" s="56">
        <f>Com1I[[#This Row],[Default Average]]*Q$30</f>
        <v>0</v>
      </c>
      <c r="R69" s="196">
        <v>0</v>
      </c>
      <c r="S69" s="56">
        <f>Com1I[[#This Row],[Default Average]]*S$30</f>
        <v>0</v>
      </c>
    </row>
    <row r="70" spans="3:19" x14ac:dyDescent="0.3">
      <c r="C70" s="291">
        <v>1081.0653030303031</v>
      </c>
      <c r="E70" s="55">
        <v>1.6</v>
      </c>
      <c r="F70" s="195" cm="1">
        <f t="array" ref="F70">F$30*(CPI*C70)+CPI*C70*(IndirectCom)</f>
        <v>762.56186191548272</v>
      </c>
      <c r="G70" s="195" cm="1">
        <f t="array" ref="G70">G$30*(CPI*C70)+CPI*C70*(IndirectCom)</f>
        <v>980.43667960562061</v>
      </c>
      <c r="H70" s="196" cm="1">
        <f t="array" ref="H70">H$30*(CPI*C70)+CPI*C70*(IndirectCom)</f>
        <v>1416.1863149858966</v>
      </c>
      <c r="I70" s="195" cm="1">
        <f t="array" ref="I70">I$30*(CPI*C70)+CPI*C70*(IndirectCom)</f>
        <v>1960.8733592112414</v>
      </c>
      <c r="O70" s="55">
        <v>1.6</v>
      </c>
      <c r="P70" s="56">
        <f>Com1I[[#This Row],[Default Average]]*P$30</f>
        <v>0</v>
      </c>
      <c r="Q70" s="56">
        <f>Com1I[[#This Row],[Default Average]]*Q$30</f>
        <v>0</v>
      </c>
      <c r="R70" s="196">
        <v>0</v>
      </c>
      <c r="S70" s="56">
        <f>Com1I[[#This Row],[Default Average]]*S$30</f>
        <v>0</v>
      </c>
    </row>
    <row r="71" spans="3:19" x14ac:dyDescent="0.3">
      <c r="C71" s="291">
        <v>1093.2369696969697</v>
      </c>
      <c r="E71" s="55">
        <v>1.65</v>
      </c>
      <c r="F71" s="195" cm="1">
        <f t="array" ref="F71">F$30*(CPI*C71)+CPI*C71*(IndirectCom)</f>
        <v>771.1475123567011</v>
      </c>
      <c r="G71" s="195" cm="1">
        <f t="array" ref="G71">G$30*(CPI*C71)+CPI*C71*(IndirectCom)</f>
        <v>991.47537303004424</v>
      </c>
      <c r="H71" s="196" cm="1">
        <f t="array" ref="H71">H$30*(CPI*C71)+CPI*C71*(IndirectCom)</f>
        <v>1432.1310943767307</v>
      </c>
      <c r="I71" s="195" cm="1">
        <f t="array" ref="I71">I$30*(CPI*C71)+CPI*C71*(IndirectCom)</f>
        <v>1982.9507460600887</v>
      </c>
      <c r="O71" s="55">
        <v>1.65</v>
      </c>
      <c r="P71" s="56">
        <f>Com1I[[#This Row],[Default Average]]*P$30</f>
        <v>0</v>
      </c>
      <c r="Q71" s="56">
        <f>Com1I[[#This Row],[Default Average]]*Q$30</f>
        <v>0</v>
      </c>
      <c r="R71" s="196">
        <v>0</v>
      </c>
      <c r="S71" s="56">
        <f>Com1I[[#This Row],[Default Average]]*S$30</f>
        <v>0</v>
      </c>
    </row>
    <row r="72" spans="3:19" x14ac:dyDescent="0.3">
      <c r="C72" s="291">
        <v>1105.4086363636366</v>
      </c>
      <c r="E72" s="55">
        <v>1.7</v>
      </c>
      <c r="F72" s="195" cm="1">
        <f t="array" ref="F72">F$30*(CPI*C72)+CPI*C72*(IndirectCom)</f>
        <v>779.73316279791948</v>
      </c>
      <c r="G72" s="195" cm="1">
        <f t="array" ref="G72">G$30*(CPI*C72)+CPI*C72*(IndirectCom)</f>
        <v>1002.5140664544679</v>
      </c>
      <c r="H72" s="196" cm="1">
        <f t="array" ref="H72">H$30*(CPI*C72)+CPI*C72*(IndirectCom)</f>
        <v>1448.0758737675649</v>
      </c>
      <c r="I72" s="195" cm="1">
        <f t="array" ref="I72">I$30*(CPI*C72)+CPI*C72*(IndirectCom)</f>
        <v>2005.028132908936</v>
      </c>
      <c r="O72" s="55">
        <v>1.7</v>
      </c>
      <c r="P72" s="56">
        <f>Com1I[[#This Row],[Default Average]]*P$30</f>
        <v>0</v>
      </c>
      <c r="Q72" s="56">
        <f>Com1I[[#This Row],[Default Average]]*Q$30</f>
        <v>0</v>
      </c>
      <c r="R72" s="196">
        <v>0</v>
      </c>
      <c r="S72" s="56">
        <f>Com1I[[#This Row],[Default Average]]*S$30</f>
        <v>0</v>
      </c>
    </row>
    <row r="73" spans="3:19" x14ac:dyDescent="0.3">
      <c r="C73" s="291">
        <v>1117.5803030303032</v>
      </c>
      <c r="E73" s="55">
        <v>1.75</v>
      </c>
      <c r="F73" s="195" cm="1">
        <f t="array" ref="F73">F$30*(CPI*C73)+CPI*C73*(IndirectCom)</f>
        <v>788.31881323913785</v>
      </c>
      <c r="G73" s="195" cm="1">
        <f t="array" ref="G73">G$30*(CPI*C73)+CPI*C73*(IndirectCom)</f>
        <v>1013.5527598788915</v>
      </c>
      <c r="H73" s="196" cm="1">
        <f t="array" ref="H73">H$30*(CPI*C73)+CPI*C73*(IndirectCom)</f>
        <v>1464.020653158399</v>
      </c>
      <c r="I73" s="195" cm="1">
        <f t="array" ref="I73">I$30*(CPI*C73)+CPI*C73*(IndirectCom)</f>
        <v>2027.1055197577832</v>
      </c>
      <c r="O73" s="55">
        <v>1.75</v>
      </c>
      <c r="P73" s="56">
        <f>Com1I[[#This Row],[Default Average]]*P$30</f>
        <v>0</v>
      </c>
      <c r="Q73" s="56">
        <f>Com1I[[#This Row],[Default Average]]*Q$30</f>
        <v>0</v>
      </c>
      <c r="R73" s="196">
        <v>0</v>
      </c>
      <c r="S73" s="56">
        <f>Com1I[[#This Row],[Default Average]]*S$30</f>
        <v>0</v>
      </c>
    </row>
    <row r="74" spans="3:19" x14ac:dyDescent="0.3">
      <c r="C74" s="291">
        <v>1129.7519696969698</v>
      </c>
      <c r="E74" s="55">
        <v>1.8</v>
      </c>
      <c r="F74" s="195" cm="1">
        <f t="array" ref="F74">F$30*(CPI*C74)+CPI*C74*(IndirectCom)</f>
        <v>796.90446368035612</v>
      </c>
      <c r="G74" s="195" cm="1">
        <f t="array" ref="G74">G$30*(CPI*C74)+CPI*C74*(IndirectCom)</f>
        <v>1024.5914533033151</v>
      </c>
      <c r="H74" s="196" cm="1">
        <f t="array" ref="H74">H$30*(CPI*C74)+CPI*C74*(IndirectCom)</f>
        <v>1479.9654325492329</v>
      </c>
      <c r="I74" s="195" cm="1">
        <f t="array" ref="I74">I$30*(CPI*C74)+CPI*C74*(IndirectCom)</f>
        <v>2049.1829066066298</v>
      </c>
      <c r="O74" s="55">
        <v>1.8</v>
      </c>
      <c r="P74" s="56">
        <f>Com1I[[#This Row],[Default Average]]*P$30</f>
        <v>0</v>
      </c>
      <c r="Q74" s="56">
        <f>Com1I[[#This Row],[Default Average]]*Q$30</f>
        <v>0</v>
      </c>
      <c r="R74" s="196">
        <v>0</v>
      </c>
      <c r="S74" s="56">
        <f>Com1I[[#This Row],[Default Average]]*S$30</f>
        <v>0</v>
      </c>
    </row>
    <row r="75" spans="3:19" x14ac:dyDescent="0.3">
      <c r="C75" s="291">
        <v>1141.9236363636364</v>
      </c>
      <c r="E75" s="55">
        <v>1.85</v>
      </c>
      <c r="F75" s="195" cm="1">
        <f t="array" ref="F75">F$30*(CPI*C75)+CPI*C75*(IndirectCom)</f>
        <v>805.49011412157449</v>
      </c>
      <c r="G75" s="195" cm="1">
        <f t="array" ref="G75">G$30*(CPI*C75)+CPI*C75*(IndirectCom)</f>
        <v>1035.6301467277385</v>
      </c>
      <c r="H75" s="196" cm="1">
        <f t="array" ref="H75">H$30*(CPI*C75)+CPI*C75*(IndirectCom)</f>
        <v>1495.9102119400668</v>
      </c>
      <c r="I75" s="195" cm="1">
        <f t="array" ref="I75">I$30*(CPI*C75)+CPI*C75*(IndirectCom)</f>
        <v>2071.2602934554775</v>
      </c>
      <c r="O75" s="55">
        <v>1.85</v>
      </c>
      <c r="P75" s="56">
        <f>Com1I[[#This Row],[Default Average]]*P$30</f>
        <v>0</v>
      </c>
      <c r="Q75" s="56">
        <f>Com1I[[#This Row],[Default Average]]*Q$30</f>
        <v>0</v>
      </c>
      <c r="R75" s="196">
        <v>0</v>
      </c>
      <c r="S75" s="56">
        <f>Com1I[[#This Row],[Default Average]]*S$30</f>
        <v>0</v>
      </c>
    </row>
    <row r="76" spans="3:19" x14ac:dyDescent="0.3">
      <c r="C76" s="291">
        <v>1154.0953030303031</v>
      </c>
      <c r="E76" s="55">
        <v>1.9</v>
      </c>
      <c r="F76" s="195" cm="1">
        <f t="array" ref="F76">F$30*(CPI*C76)+CPI*C76*(IndirectCom)</f>
        <v>814.07576456279287</v>
      </c>
      <c r="G76" s="195" cm="1">
        <f t="array" ref="G76">G$30*(CPI*C76)+CPI*C76*(IndirectCom)</f>
        <v>1046.6688401521624</v>
      </c>
      <c r="H76" s="196" cm="1">
        <f t="array" ref="H76">H$30*(CPI*C76)+CPI*C76*(IndirectCom)</f>
        <v>1511.8549913309012</v>
      </c>
      <c r="I76" s="195" cm="1">
        <f t="array" ref="I76">I$30*(CPI*C76)+CPI*C76*(IndirectCom)</f>
        <v>2093.3376803043243</v>
      </c>
      <c r="O76" s="55">
        <v>1.9</v>
      </c>
      <c r="P76" s="56">
        <f>Com1I[[#This Row],[Default Average]]*P$30</f>
        <v>0</v>
      </c>
      <c r="Q76" s="56">
        <f>Com1I[[#This Row],[Default Average]]*Q$30</f>
        <v>0</v>
      </c>
      <c r="R76" s="196">
        <v>0</v>
      </c>
      <c r="S76" s="56">
        <f>Com1I[[#This Row],[Default Average]]*S$30</f>
        <v>0</v>
      </c>
    </row>
    <row r="77" spans="3:19" x14ac:dyDescent="0.3">
      <c r="C77" s="291">
        <v>1166.2669696969699</v>
      </c>
      <c r="E77" s="55">
        <v>1.95</v>
      </c>
      <c r="F77" s="195" cm="1">
        <f t="array" ref="F77">F$30*(CPI*C77)+CPI*C77*(IndirectCom)</f>
        <v>822.66141500401125</v>
      </c>
      <c r="G77" s="195" cm="1">
        <f t="array" ref="G77">G$30*(CPI*C77)+CPI*C77*(IndirectCom)</f>
        <v>1057.7075335765858</v>
      </c>
      <c r="H77" s="196" cm="1">
        <f t="array" ref="H77">H$30*(CPI*C77)+CPI*C77*(IndirectCom)</f>
        <v>1527.7997707217351</v>
      </c>
      <c r="I77" s="195" cm="1">
        <f t="array" ref="I77">I$30*(CPI*C77)+CPI*C77*(IndirectCom)</f>
        <v>2115.415067153172</v>
      </c>
      <c r="O77" s="55">
        <v>1.95</v>
      </c>
      <c r="P77" s="56">
        <f>Com1I[[#This Row],[Default Average]]*P$30</f>
        <v>0</v>
      </c>
      <c r="Q77" s="56">
        <f>Com1I[[#This Row],[Default Average]]*Q$30</f>
        <v>0</v>
      </c>
      <c r="R77" s="196">
        <v>0</v>
      </c>
      <c r="S77" s="56">
        <f>Com1I[[#This Row],[Default Average]]*S$30</f>
        <v>0</v>
      </c>
    </row>
    <row r="78" spans="3:19" x14ac:dyDescent="0.3">
      <c r="C78" s="291">
        <v>1178.4386363636365</v>
      </c>
      <c r="E78" s="55">
        <v>2</v>
      </c>
      <c r="F78" s="195" cm="1">
        <f t="array" ref="F78">F$30*(CPI*C78)+CPI*C78*(IndirectCom)</f>
        <v>831.24706544522962</v>
      </c>
      <c r="G78" s="195" cm="1">
        <f t="array" ref="G78">G$30*(CPI*C78)+CPI*C78*(IndirectCom)</f>
        <v>1068.7462270010096</v>
      </c>
      <c r="H78" s="196" cm="1">
        <f t="array" ref="H78">H$30*(CPI*C78)+CPI*C78*(IndirectCom)</f>
        <v>1543.7445501125694</v>
      </c>
      <c r="I78" s="195" cm="1">
        <f t="array" ref="I78">I$30*(CPI*C78)+CPI*C78*(IndirectCom)</f>
        <v>2137.4924540020188</v>
      </c>
      <c r="O78" s="55">
        <v>2</v>
      </c>
      <c r="P78" s="56">
        <f>Com1I[[#This Row],[Default Average]]*P$30</f>
        <v>0</v>
      </c>
      <c r="Q78" s="56">
        <f>Com1I[[#This Row],[Default Average]]*Q$30</f>
        <v>0</v>
      </c>
      <c r="R78" s="196">
        <v>0</v>
      </c>
      <c r="S78" s="56">
        <f>Com1I[[#This Row],[Default Average]]*S$30</f>
        <v>0</v>
      </c>
    </row>
    <row r="79" spans="3:19" x14ac:dyDescent="0.3">
      <c r="C79" s="291">
        <v>1181.213181818182</v>
      </c>
      <c r="E79" s="55">
        <v>2.0499999999999998</v>
      </c>
      <c r="F79" s="195" cm="1">
        <f t="array" ref="F79">F$30*(CPI*C79)+CPI*C79*(IndirectCom)</f>
        <v>833.20417436534444</v>
      </c>
      <c r="G79" s="195" cm="1">
        <f t="array" ref="G79">G$30*(CPI*C79)+CPI*C79*(IndirectCom)</f>
        <v>1071.2625098982999</v>
      </c>
      <c r="H79" s="196" cm="1">
        <f t="array" ref="H79">H$30*(CPI*C79)+CPI*C79*(IndirectCom)</f>
        <v>1547.3791809642112</v>
      </c>
      <c r="I79" s="195" cm="1">
        <f t="array" ref="I79">I$30*(CPI*C79)+CPI*C79*(IndirectCom)</f>
        <v>2142.5250197965997</v>
      </c>
      <c r="O79" s="55">
        <v>2.0499999999999998</v>
      </c>
      <c r="P79" s="56">
        <f>Com1I[[#This Row],[Default Average]]*P$30</f>
        <v>0</v>
      </c>
      <c r="Q79" s="56">
        <f>Com1I[[#This Row],[Default Average]]*Q$30</f>
        <v>0</v>
      </c>
      <c r="R79" s="196">
        <v>0</v>
      </c>
      <c r="S79" s="56">
        <f>Com1I[[#This Row],[Default Average]]*S$30</f>
        <v>0</v>
      </c>
    </row>
    <row r="80" spans="3:19" x14ac:dyDescent="0.3">
      <c r="C80" s="291">
        <v>1183.9877272727274</v>
      </c>
      <c r="E80" s="55">
        <v>2.1</v>
      </c>
      <c r="F80" s="195" cm="1">
        <f t="array" ref="F80">F$30*(CPI*C80)+CPI*C80*(IndirectCom)</f>
        <v>835.16128328545938</v>
      </c>
      <c r="G80" s="195" cm="1">
        <f t="array" ref="G80">G$30*(CPI*C80)+CPI*C80*(IndirectCom)</f>
        <v>1073.7787927955906</v>
      </c>
      <c r="H80" s="196" cm="1">
        <f t="array" ref="H80">H$30*(CPI*C80)+CPI*C80*(IndirectCom)</f>
        <v>1551.0138118158529</v>
      </c>
      <c r="I80" s="195" cm="1">
        <f t="array" ref="I80">I$30*(CPI*C80)+CPI*C80*(IndirectCom)</f>
        <v>2147.5575855911811</v>
      </c>
      <c r="O80" s="55">
        <v>2.1</v>
      </c>
      <c r="P80" s="56">
        <f>Com1I[[#This Row],[Default Average]]*P$30</f>
        <v>0</v>
      </c>
      <c r="Q80" s="56">
        <f>Com1I[[#This Row],[Default Average]]*Q$30</f>
        <v>0</v>
      </c>
      <c r="R80" s="196">
        <v>0</v>
      </c>
      <c r="S80" s="56">
        <f>Com1I[[#This Row],[Default Average]]*S$30</f>
        <v>0</v>
      </c>
    </row>
    <row r="81" spans="3:19" x14ac:dyDescent="0.3">
      <c r="C81" s="291">
        <v>1186.7622727272728</v>
      </c>
      <c r="E81" s="55">
        <v>2.15</v>
      </c>
      <c r="F81" s="195" cm="1">
        <f t="array" ref="F81">F$30*(CPI*C81)+CPI*C81*(IndirectCom)</f>
        <v>837.1183922055742</v>
      </c>
      <c r="G81" s="195" cm="1">
        <f t="array" ref="G81">G$30*(CPI*C81)+CPI*C81*(IndirectCom)</f>
        <v>1076.295075692881</v>
      </c>
      <c r="H81" s="196" cm="1">
        <f t="array" ref="H81">H$30*(CPI*C81)+CPI*C81*(IndirectCom)</f>
        <v>1554.6484426674949</v>
      </c>
      <c r="I81" s="195" cm="1">
        <f t="array" ref="I81">I$30*(CPI*C81)+CPI*C81*(IndirectCom)</f>
        <v>2152.5901513857621</v>
      </c>
      <c r="O81" s="55">
        <v>2.15</v>
      </c>
      <c r="P81" s="56">
        <f>Com1I[[#This Row],[Default Average]]*P$30</f>
        <v>0</v>
      </c>
      <c r="Q81" s="56">
        <f>Com1I[[#This Row],[Default Average]]*Q$30</f>
        <v>0</v>
      </c>
      <c r="R81" s="196">
        <v>0</v>
      </c>
      <c r="S81" s="56">
        <f>Com1I[[#This Row],[Default Average]]*S$30</f>
        <v>0</v>
      </c>
    </row>
    <row r="82" spans="3:19" x14ac:dyDescent="0.3">
      <c r="C82" s="291">
        <v>1189.5368181818183</v>
      </c>
      <c r="E82" s="55">
        <v>2.2000000000000002</v>
      </c>
      <c r="F82" s="195" cm="1">
        <f t="array" ref="F82">F$30*(CPI*C82)+CPI*C82*(IndirectCom)</f>
        <v>839.07550112568913</v>
      </c>
      <c r="G82" s="195" cm="1">
        <f t="array" ref="G82">G$30*(CPI*C82)+CPI*C82*(IndirectCom)</f>
        <v>1078.8113585901717</v>
      </c>
      <c r="H82" s="196" cm="1">
        <f t="array" ref="H82">H$30*(CPI*C82)+CPI*C82*(IndirectCom)</f>
        <v>1558.2830735191369</v>
      </c>
      <c r="I82" s="195" cm="1">
        <f t="array" ref="I82">I$30*(CPI*C82)+CPI*C82*(IndirectCom)</f>
        <v>2157.6227171803434</v>
      </c>
      <c r="O82" s="55">
        <v>2.2000000000000002</v>
      </c>
      <c r="P82" s="56">
        <f>Com1I[[#This Row],[Default Average]]*P$30</f>
        <v>0</v>
      </c>
      <c r="Q82" s="56">
        <f>Com1I[[#This Row],[Default Average]]*Q$30</f>
        <v>0</v>
      </c>
      <c r="R82" s="196">
        <v>0</v>
      </c>
      <c r="S82" s="56">
        <f>Com1I[[#This Row],[Default Average]]*S$30</f>
        <v>0</v>
      </c>
    </row>
    <row r="83" spans="3:19" x14ac:dyDescent="0.3">
      <c r="C83" s="291">
        <v>1192.3113636363637</v>
      </c>
      <c r="E83" s="55">
        <v>2.25</v>
      </c>
      <c r="F83" s="195" cm="1">
        <f t="array" ref="F83">F$30*(CPI*C83)+CPI*C83*(IndirectCom)</f>
        <v>841.03261004580395</v>
      </c>
      <c r="G83" s="195" cm="1">
        <f t="array" ref="G83">G$30*(CPI*C83)+CPI*C83*(IndirectCom)</f>
        <v>1081.3276414874622</v>
      </c>
      <c r="H83" s="196" cm="1">
        <f t="array" ref="H83">H$30*(CPI*C83)+CPI*C83*(IndirectCom)</f>
        <v>1561.9177043707789</v>
      </c>
      <c r="I83" s="195" cm="1">
        <f t="array" ref="I83">I$30*(CPI*C83)+CPI*C83*(IndirectCom)</f>
        <v>2162.6552829749244</v>
      </c>
      <c r="O83" s="55">
        <v>2.25</v>
      </c>
      <c r="P83" s="56">
        <f>Com1I[[#This Row],[Default Average]]*P$30</f>
        <v>0</v>
      </c>
      <c r="Q83" s="56">
        <f>Com1I[[#This Row],[Default Average]]*Q$30</f>
        <v>0</v>
      </c>
      <c r="R83" s="196">
        <v>0</v>
      </c>
      <c r="S83" s="56">
        <f>Com1I[[#This Row],[Default Average]]*S$30</f>
        <v>0</v>
      </c>
    </row>
    <row r="84" spans="3:19" x14ac:dyDescent="0.3">
      <c r="C84" s="291">
        <v>1195.0859090909091</v>
      </c>
      <c r="E84" s="55">
        <v>2.2999999999999998</v>
      </c>
      <c r="F84" s="195" cm="1">
        <f t="array" ref="F84">F$30*(CPI*C84)+CPI*C84*(IndirectCom)</f>
        <v>842.98971896591888</v>
      </c>
      <c r="G84" s="195" cm="1">
        <f t="array" ref="G84">G$30*(CPI*C84)+CPI*C84*(IndirectCom)</f>
        <v>1083.8439243847529</v>
      </c>
      <c r="H84" s="196" cm="1">
        <f t="array" ref="H84">H$30*(CPI*C84)+CPI*C84*(IndirectCom)</f>
        <v>1565.5523352224207</v>
      </c>
      <c r="I84" s="195" cm="1">
        <f t="array" ref="I84">I$30*(CPI*C84)+CPI*C84*(IndirectCom)</f>
        <v>2167.6878487695058</v>
      </c>
      <c r="O84" s="55">
        <v>2.2999999999999998</v>
      </c>
      <c r="P84" s="56">
        <f>Com1I[[#This Row],[Default Average]]*P$30</f>
        <v>0</v>
      </c>
      <c r="Q84" s="56">
        <f>Com1I[[#This Row],[Default Average]]*Q$30</f>
        <v>0</v>
      </c>
      <c r="R84" s="196">
        <v>0</v>
      </c>
      <c r="S84" s="56">
        <f>Com1I[[#This Row],[Default Average]]*S$30</f>
        <v>0</v>
      </c>
    </row>
    <row r="85" spans="3:19" x14ac:dyDescent="0.3">
      <c r="C85" s="291">
        <v>1197.8604545454546</v>
      </c>
      <c r="E85" s="55">
        <v>2.35</v>
      </c>
      <c r="F85" s="195" cm="1">
        <f t="array" ref="F85">F$30*(CPI*C85)+CPI*C85*(IndirectCom)</f>
        <v>844.9468278860337</v>
      </c>
      <c r="G85" s="195" cm="1">
        <f t="array" ref="G85">G$30*(CPI*C85)+CPI*C85*(IndirectCom)</f>
        <v>1086.3602072820431</v>
      </c>
      <c r="H85" s="196" cm="1">
        <f t="array" ref="H85">H$30*(CPI*C85)+CPI*C85*(IndirectCom)</f>
        <v>1569.1869660740626</v>
      </c>
      <c r="I85" s="195" cm="1">
        <f t="array" ref="I85">I$30*(CPI*C85)+CPI*C85*(IndirectCom)</f>
        <v>2172.7204145640867</v>
      </c>
      <c r="O85" s="55">
        <v>2.35</v>
      </c>
      <c r="P85" s="56">
        <f>Com1I[[#This Row],[Default Average]]*P$30</f>
        <v>0</v>
      </c>
      <c r="Q85" s="56">
        <f>Com1I[[#This Row],[Default Average]]*Q$30</f>
        <v>0</v>
      </c>
      <c r="R85" s="196">
        <v>0</v>
      </c>
      <c r="S85" s="56">
        <f>Com1I[[#This Row],[Default Average]]*S$30</f>
        <v>0</v>
      </c>
    </row>
    <row r="86" spans="3:19" x14ac:dyDescent="0.3">
      <c r="C86" s="291">
        <v>1200.6350000000002</v>
      </c>
      <c r="E86" s="55">
        <v>2.4</v>
      </c>
      <c r="F86" s="195" cm="1">
        <f t="array" ref="F86">F$30*(CPI*C86)+CPI*C86*(IndirectCom)</f>
        <v>846.90393680614886</v>
      </c>
      <c r="G86" s="195" cm="1">
        <f t="array" ref="G86">G$30*(CPI*C86)+CPI*C86*(IndirectCom)</f>
        <v>1088.8764901793343</v>
      </c>
      <c r="H86" s="196" cm="1">
        <f t="array" ref="H86">H$30*(CPI*C86)+CPI*C86*(IndirectCom)</f>
        <v>1572.8215969257049</v>
      </c>
      <c r="I86" s="195" cm="1">
        <f t="array" ref="I86">I$30*(CPI*C86)+CPI*C86*(IndirectCom)</f>
        <v>2177.7529803586685</v>
      </c>
      <c r="O86" s="55">
        <v>2.4</v>
      </c>
      <c r="P86" s="56">
        <f>Com1I[[#This Row],[Default Average]]*P$30</f>
        <v>0</v>
      </c>
      <c r="Q86" s="56">
        <f>Com1I[[#This Row],[Default Average]]*Q$30</f>
        <v>0</v>
      </c>
      <c r="R86" s="196">
        <v>0</v>
      </c>
      <c r="S86" s="56">
        <f>Com1I[[#This Row],[Default Average]]*S$30</f>
        <v>0</v>
      </c>
    </row>
    <row r="87" spans="3:19" x14ac:dyDescent="0.3">
      <c r="C87" s="291">
        <v>1203.4095454545457</v>
      </c>
      <c r="E87" s="55">
        <v>2.4500000000000002</v>
      </c>
      <c r="F87" s="195" cm="1">
        <f t="array" ref="F87">F$30*(CPI*C87)+CPI*C87*(IndirectCom)</f>
        <v>848.86104572626368</v>
      </c>
      <c r="G87" s="195" cm="1">
        <f t="array" ref="G87">G$30*(CPI*C87)+CPI*C87*(IndirectCom)</f>
        <v>1091.3927730766247</v>
      </c>
      <c r="H87" s="196" cm="1">
        <f t="array" ref="H87">H$30*(CPI*C87)+CPI*C87*(IndirectCom)</f>
        <v>1576.4562277773468</v>
      </c>
      <c r="I87" s="195" cm="1">
        <f t="array" ref="I87">I$30*(CPI*C87)+CPI*C87*(IndirectCom)</f>
        <v>2182.7855461532495</v>
      </c>
      <c r="O87" s="55">
        <v>2.4500000000000002</v>
      </c>
      <c r="P87" s="56">
        <f>Com1I[[#This Row],[Default Average]]*P$30</f>
        <v>0</v>
      </c>
      <c r="Q87" s="56">
        <f>Com1I[[#This Row],[Default Average]]*Q$30</f>
        <v>0</v>
      </c>
      <c r="R87" s="196">
        <v>0</v>
      </c>
      <c r="S87" s="56">
        <f>Com1I[[#This Row],[Default Average]]*S$30</f>
        <v>0</v>
      </c>
    </row>
    <row r="88" spans="3:19" x14ac:dyDescent="0.3">
      <c r="C88" s="291">
        <v>1206.1840909090911</v>
      </c>
      <c r="E88" s="55">
        <v>2.5</v>
      </c>
      <c r="F88" s="195" cm="1">
        <f t="array" ref="F88">F$30*(CPI*C88)+CPI*C88*(IndirectCom)</f>
        <v>850.8181546463785</v>
      </c>
      <c r="G88" s="195" cm="1">
        <f t="array" ref="G88">G$30*(CPI*C88)+CPI*C88*(IndirectCom)</f>
        <v>1093.9090559739152</v>
      </c>
      <c r="H88" s="196" cm="1">
        <f t="array" ref="H88">H$30*(CPI*C88)+CPI*C88*(IndirectCom)</f>
        <v>1580.0908586289886</v>
      </c>
      <c r="I88" s="195" cm="1">
        <f t="array" ref="I88">I$30*(CPI*C88)+CPI*C88*(IndirectCom)</f>
        <v>2187.8181119478304</v>
      </c>
      <c r="O88" s="55">
        <v>2.5</v>
      </c>
      <c r="P88" s="56">
        <f>Com1I[[#This Row],[Default Average]]*P$30</f>
        <v>0</v>
      </c>
      <c r="Q88" s="56">
        <f>Com1I[[#This Row],[Default Average]]*Q$30</f>
        <v>0</v>
      </c>
      <c r="R88" s="196">
        <v>0</v>
      </c>
      <c r="S88" s="56">
        <f>Com1I[[#This Row],[Default Average]]*S$30</f>
        <v>0</v>
      </c>
    </row>
    <row r="89" spans="3:19" x14ac:dyDescent="0.3">
      <c r="C89" s="291">
        <v>1208.9586363636365</v>
      </c>
      <c r="E89" s="55">
        <v>2.5499999999999998</v>
      </c>
      <c r="F89" s="195" cm="1">
        <f t="array" ref="F89">F$30*(CPI*C89)+CPI*C89*(IndirectCom)</f>
        <v>852.77526356649332</v>
      </c>
      <c r="G89" s="195" cm="1">
        <f t="array" ref="G89">G$30*(CPI*C89)+CPI*C89*(IndirectCom)</f>
        <v>1096.4253388712057</v>
      </c>
      <c r="H89" s="196" cm="1">
        <f t="array" ref="H89">H$30*(CPI*C89)+CPI*C89*(IndirectCom)</f>
        <v>1583.7254894806306</v>
      </c>
      <c r="I89" s="195" cm="1">
        <f t="array" ref="I89">I$30*(CPI*C89)+CPI*C89*(IndirectCom)</f>
        <v>2192.8506777424113</v>
      </c>
      <c r="O89" s="55">
        <v>2.5499999999999998</v>
      </c>
      <c r="P89" s="56">
        <f>Com1I[[#This Row],[Default Average]]*P$30</f>
        <v>0</v>
      </c>
      <c r="Q89" s="56">
        <f>Com1I[[#This Row],[Default Average]]*Q$30</f>
        <v>0</v>
      </c>
      <c r="R89" s="196">
        <v>0</v>
      </c>
      <c r="S89" s="56">
        <f>Com1I[[#This Row],[Default Average]]*S$30</f>
        <v>0</v>
      </c>
    </row>
    <row r="90" spans="3:19" x14ac:dyDescent="0.3">
      <c r="C90" s="291">
        <v>1211.7331818181819</v>
      </c>
      <c r="E90" s="55">
        <v>2.6</v>
      </c>
      <c r="F90" s="195" cm="1">
        <f t="array" ref="F90">F$30*(CPI*C90)+CPI*C90*(IndirectCom)</f>
        <v>854.73237248660837</v>
      </c>
      <c r="G90" s="195" cm="1">
        <f t="array" ref="G90">G$30*(CPI*C90)+CPI*C90*(IndirectCom)</f>
        <v>1098.9416217684966</v>
      </c>
      <c r="H90" s="196" cm="1">
        <f t="array" ref="H90">H$30*(CPI*C90)+CPI*C90*(IndirectCom)</f>
        <v>1587.3601203322728</v>
      </c>
      <c r="I90" s="195" cm="1">
        <f t="array" ref="I90">I$30*(CPI*C90)+CPI*C90*(IndirectCom)</f>
        <v>2197.8832435369927</v>
      </c>
      <c r="O90" s="55">
        <v>2.6</v>
      </c>
      <c r="P90" s="56">
        <f>Com1I[[#This Row],[Default Average]]*P$30</f>
        <v>0</v>
      </c>
      <c r="Q90" s="56">
        <f>Com1I[[#This Row],[Default Average]]*Q$30</f>
        <v>0</v>
      </c>
      <c r="R90" s="196">
        <v>0</v>
      </c>
      <c r="S90" s="56">
        <f>Com1I[[#This Row],[Default Average]]*S$30</f>
        <v>0</v>
      </c>
    </row>
    <row r="91" spans="3:19" x14ac:dyDescent="0.3">
      <c r="C91" s="291">
        <v>1214.5077272727274</v>
      </c>
      <c r="E91" s="55">
        <v>2.65</v>
      </c>
      <c r="F91" s="195" cm="1">
        <f t="array" ref="F91">F$30*(CPI*C91)+CPI*C91*(IndirectCom)</f>
        <v>856.68948140672319</v>
      </c>
      <c r="G91" s="195" cm="1">
        <f t="array" ref="G91">G$30*(CPI*C91)+CPI*C91*(IndirectCom)</f>
        <v>1101.4579046657868</v>
      </c>
      <c r="H91" s="196" cm="1">
        <f t="array" ref="H91">H$30*(CPI*C91)+CPI*C91*(IndirectCom)</f>
        <v>1590.9947511839146</v>
      </c>
      <c r="I91" s="195" cm="1">
        <f t="array" ref="I91">I$30*(CPI*C91)+CPI*C91*(IndirectCom)</f>
        <v>2202.9158093315737</v>
      </c>
      <c r="O91" s="55">
        <v>2.65</v>
      </c>
      <c r="P91" s="56">
        <f>Com1I[[#This Row],[Default Average]]*P$30</f>
        <v>0</v>
      </c>
      <c r="Q91" s="56">
        <f>Com1I[[#This Row],[Default Average]]*Q$30</f>
        <v>0</v>
      </c>
      <c r="R91" s="196">
        <v>0</v>
      </c>
      <c r="S91" s="56">
        <f>Com1I[[#This Row],[Default Average]]*S$30</f>
        <v>0</v>
      </c>
    </row>
    <row r="92" spans="3:19" x14ac:dyDescent="0.3">
      <c r="C92" s="291">
        <v>1217.2822727272728</v>
      </c>
      <c r="E92" s="55">
        <v>2.7</v>
      </c>
      <c r="F92" s="195" cm="1">
        <f t="array" ref="F92">F$30*(CPI*C92)+CPI*C92*(IndirectCom)</f>
        <v>858.64659032683812</v>
      </c>
      <c r="G92" s="195" cm="1">
        <f t="array" ref="G92">G$30*(CPI*C92)+CPI*C92*(IndirectCom)</f>
        <v>1103.9741875630775</v>
      </c>
      <c r="H92" s="196" cm="1">
        <f t="array" ref="H92">H$30*(CPI*C92)+CPI*C92*(IndirectCom)</f>
        <v>1594.6293820355563</v>
      </c>
      <c r="I92" s="195" cm="1">
        <f t="array" ref="I92">I$30*(CPI*C92)+CPI*C92*(IndirectCom)</f>
        <v>2207.948375126155</v>
      </c>
      <c r="O92" s="55">
        <v>2.7</v>
      </c>
      <c r="P92" s="56">
        <f>Com1I[[#This Row],[Default Average]]*P$30</f>
        <v>0</v>
      </c>
      <c r="Q92" s="56">
        <f>Com1I[[#This Row],[Default Average]]*Q$30</f>
        <v>0</v>
      </c>
      <c r="R92" s="196">
        <v>0</v>
      </c>
      <c r="S92" s="56">
        <f>Com1I[[#This Row],[Default Average]]*S$30</f>
        <v>0</v>
      </c>
    </row>
    <row r="93" spans="3:19" x14ac:dyDescent="0.3">
      <c r="C93" s="291">
        <v>1220.0568181818182</v>
      </c>
      <c r="E93" s="55">
        <v>2.75</v>
      </c>
      <c r="F93" s="195" cm="1">
        <f t="array" ref="F93">F$30*(CPI*C93)+CPI*C93*(IndirectCom)</f>
        <v>860.60369924695294</v>
      </c>
      <c r="G93" s="195" cm="1">
        <f t="array" ref="G93">G$30*(CPI*C93)+CPI*C93*(IndirectCom)</f>
        <v>1106.490470460368</v>
      </c>
      <c r="H93" s="196" cm="1">
        <f t="array" ref="H93">H$30*(CPI*C93)+CPI*C93*(IndirectCom)</f>
        <v>1598.2640128871983</v>
      </c>
      <c r="I93" s="195" cm="1">
        <f t="array" ref="I93">I$30*(CPI*C93)+CPI*C93*(IndirectCom)</f>
        <v>2212.980940920736</v>
      </c>
      <c r="O93" s="55">
        <v>2.75</v>
      </c>
      <c r="P93" s="56">
        <f>Com1I[[#This Row],[Default Average]]*P$30</f>
        <v>0</v>
      </c>
      <c r="Q93" s="56">
        <f>Com1I[[#This Row],[Default Average]]*Q$30</f>
        <v>0</v>
      </c>
      <c r="R93" s="196">
        <v>0</v>
      </c>
      <c r="S93" s="56">
        <f>Com1I[[#This Row],[Default Average]]*S$30</f>
        <v>0</v>
      </c>
    </row>
    <row r="94" spans="3:19" x14ac:dyDescent="0.3">
      <c r="C94" s="291">
        <v>1222.8313636363637</v>
      </c>
      <c r="E94" s="55">
        <v>2.8</v>
      </c>
      <c r="F94" s="195" cm="1">
        <f t="array" ref="F94">F$30*(CPI*C94)+CPI*C94*(IndirectCom)</f>
        <v>862.56080816706788</v>
      </c>
      <c r="G94" s="195" cm="1">
        <f t="array" ref="G94">G$30*(CPI*C94)+CPI*C94*(IndirectCom)</f>
        <v>1109.0067533576587</v>
      </c>
      <c r="H94" s="196" cm="1">
        <f t="array" ref="H94">H$30*(CPI*C94)+CPI*C94*(IndirectCom)</f>
        <v>1601.8986437388403</v>
      </c>
      <c r="I94" s="195" cm="1">
        <f t="array" ref="I94">I$30*(CPI*C94)+CPI*C94*(IndirectCom)</f>
        <v>2218.0135067153174</v>
      </c>
      <c r="O94" s="55">
        <v>2.8</v>
      </c>
      <c r="P94" s="56">
        <f>Com1I[[#This Row],[Default Average]]*P$30</f>
        <v>0</v>
      </c>
      <c r="Q94" s="56">
        <f>Com1I[[#This Row],[Default Average]]*Q$30</f>
        <v>0</v>
      </c>
      <c r="R94" s="196">
        <v>0</v>
      </c>
      <c r="S94" s="56">
        <f>Com1I[[#This Row],[Default Average]]*S$30</f>
        <v>0</v>
      </c>
    </row>
    <row r="95" spans="3:19" x14ac:dyDescent="0.3">
      <c r="C95" s="291">
        <v>1225.6059090909091</v>
      </c>
      <c r="E95" s="55">
        <v>2.85</v>
      </c>
      <c r="F95" s="195" cm="1">
        <f t="array" ref="F95">F$30*(CPI*C95)+CPI*C95*(IndirectCom)</f>
        <v>864.5179170871827</v>
      </c>
      <c r="G95" s="195" cm="1">
        <f t="array" ref="G95">G$30*(CPI*C95)+CPI*C95*(IndirectCom)</f>
        <v>1111.5230362549491</v>
      </c>
      <c r="H95" s="196" cm="1">
        <f t="array" ref="H95">H$30*(CPI*C95)+CPI*C95*(IndirectCom)</f>
        <v>1605.5332745904823</v>
      </c>
      <c r="I95" s="195" cm="1">
        <f t="array" ref="I95">I$30*(CPI*C95)+CPI*C95*(IndirectCom)</f>
        <v>2223.0460725098983</v>
      </c>
      <c r="O95" s="55">
        <v>2.85</v>
      </c>
      <c r="P95" s="56">
        <f>Com1I[[#This Row],[Default Average]]*P$30</f>
        <v>0</v>
      </c>
      <c r="Q95" s="56">
        <f>Com1I[[#This Row],[Default Average]]*Q$30</f>
        <v>0</v>
      </c>
      <c r="R95" s="196">
        <v>0</v>
      </c>
      <c r="S95" s="56">
        <f>Com1I[[#This Row],[Default Average]]*S$30</f>
        <v>0</v>
      </c>
    </row>
    <row r="96" spans="3:19" x14ac:dyDescent="0.3">
      <c r="C96" s="291">
        <v>1228.3804545454548</v>
      </c>
      <c r="E96" s="55">
        <v>2.9</v>
      </c>
      <c r="F96" s="195" cm="1">
        <f t="array" ref="F96">F$30*(CPI*C96)+CPI*C96*(IndirectCom)</f>
        <v>866.47502600729774</v>
      </c>
      <c r="G96" s="195" cm="1">
        <f t="array" ref="G96">G$30*(CPI*C96)+CPI*C96*(IndirectCom)</f>
        <v>1114.0393191522398</v>
      </c>
      <c r="H96" s="196" cm="1">
        <f t="array" ref="H96">H$30*(CPI*C96)+CPI*C96*(IndirectCom)</f>
        <v>1609.1679054421243</v>
      </c>
      <c r="I96" s="195" cm="1">
        <f t="array" ref="I96">I$30*(CPI*C96)+CPI*C96*(IndirectCom)</f>
        <v>2228.0786383044801</v>
      </c>
      <c r="O96" s="55">
        <v>2.9</v>
      </c>
      <c r="P96" s="56">
        <f>Com1I[[#This Row],[Default Average]]*P$30</f>
        <v>0</v>
      </c>
      <c r="Q96" s="56">
        <f>Com1I[[#This Row],[Default Average]]*Q$30</f>
        <v>0</v>
      </c>
      <c r="R96" s="196">
        <v>0</v>
      </c>
      <c r="S96" s="56">
        <f>Com1I[[#This Row],[Default Average]]*S$30</f>
        <v>0</v>
      </c>
    </row>
    <row r="97" spans="3:19" x14ac:dyDescent="0.3">
      <c r="C97" s="291">
        <v>1231.1550000000002</v>
      </c>
      <c r="E97" s="55">
        <v>2.95</v>
      </c>
      <c r="F97" s="195" cm="1">
        <f t="array" ref="F97">F$30*(CPI*C97)+CPI*C97*(IndirectCom)</f>
        <v>868.43213492741256</v>
      </c>
      <c r="G97" s="195" cm="1">
        <f t="array" ref="G97">G$30*(CPI*C97)+CPI*C97*(IndirectCom)</f>
        <v>1116.5556020495303</v>
      </c>
      <c r="H97" s="196" cm="1">
        <f t="array" ref="H97">H$30*(CPI*C97)+CPI*C97*(IndirectCom)</f>
        <v>1612.8025362937663</v>
      </c>
      <c r="I97" s="195" cm="1">
        <f t="array" ref="I97">I$30*(CPI*C97)+CPI*C97*(IndirectCom)</f>
        <v>2233.1112040990611</v>
      </c>
      <c r="O97" s="55">
        <v>2.95</v>
      </c>
      <c r="P97" s="56">
        <f>Com1I[[#This Row],[Default Average]]*P$30</f>
        <v>0</v>
      </c>
      <c r="Q97" s="56">
        <f>Com1I[[#This Row],[Default Average]]*Q$30</f>
        <v>0</v>
      </c>
      <c r="R97" s="196">
        <v>0</v>
      </c>
      <c r="S97" s="56">
        <f>Com1I[[#This Row],[Default Average]]*S$30</f>
        <v>0</v>
      </c>
    </row>
    <row r="98" spans="3:19" x14ac:dyDescent="0.3">
      <c r="C98" s="291">
        <v>1233.9295454545456</v>
      </c>
      <c r="E98" s="55">
        <v>3</v>
      </c>
      <c r="F98" s="195" cm="1">
        <f t="array" ref="F98">F$30*(CPI*C98)+CPI*C98*(IndirectCom)</f>
        <v>870.38924384752761</v>
      </c>
      <c r="G98" s="195" cm="1">
        <f t="array" ref="G98">G$30*(CPI*C98)+CPI*C98*(IndirectCom)</f>
        <v>1119.0718849468212</v>
      </c>
      <c r="H98" s="196" cm="1">
        <f t="array" ref="H98">H$30*(CPI*C98)+CPI*C98*(IndirectCom)</f>
        <v>1616.4371671454082</v>
      </c>
      <c r="I98" s="195" cm="1">
        <f t="array" ref="I98">I$30*(CPI*C98)+CPI*C98*(IndirectCom)</f>
        <v>2238.1437698936425</v>
      </c>
      <c r="O98" s="55">
        <v>3</v>
      </c>
      <c r="P98" s="56">
        <f>Com1I[[#This Row],[Default Average]]*P$30</f>
        <v>0</v>
      </c>
      <c r="Q98" s="56">
        <f>Com1I[[#This Row],[Default Average]]*Q$30</f>
        <v>0</v>
      </c>
      <c r="R98" s="196">
        <v>0</v>
      </c>
      <c r="S98" s="56">
        <f>Com1I[[#This Row],[Default Average]]*S$30</f>
        <v>0</v>
      </c>
    </row>
    <row r="99" spans="3:19" x14ac:dyDescent="0.3">
      <c r="C99" s="291">
        <v>1236.7040909090911</v>
      </c>
      <c r="E99" s="55">
        <v>3.05</v>
      </c>
      <c r="F99" s="195" cm="1">
        <f t="array" ref="F99">F$30*(CPI*C99)+CPI*C99*(IndirectCom)</f>
        <v>872.34635276764243</v>
      </c>
      <c r="G99" s="195" cm="1">
        <f t="array" ref="G99">G$30*(CPI*C99)+CPI*C99*(IndirectCom)</f>
        <v>1121.5881678441117</v>
      </c>
      <c r="H99" s="196" cm="1">
        <f t="array" ref="H99">H$30*(CPI*C99)+CPI*C99*(IndirectCom)</f>
        <v>1620.0717979970502</v>
      </c>
      <c r="I99" s="195" cm="1">
        <f t="array" ref="I99">I$30*(CPI*C99)+CPI*C99*(IndirectCom)</f>
        <v>2243.1763356882234</v>
      </c>
      <c r="O99" s="55">
        <v>3.05</v>
      </c>
      <c r="P99" s="56">
        <f>Com1I[[#This Row],[Default Average]]*P$30</f>
        <v>0</v>
      </c>
      <c r="Q99" s="56">
        <f>Com1I[[#This Row],[Default Average]]*Q$30</f>
        <v>0</v>
      </c>
      <c r="R99" s="196">
        <v>0</v>
      </c>
      <c r="S99" s="56">
        <f>Com1I[[#This Row],[Default Average]]*S$30</f>
        <v>0</v>
      </c>
    </row>
    <row r="100" spans="3:19" x14ac:dyDescent="0.3">
      <c r="C100" s="291">
        <v>1239.4786363636365</v>
      </c>
      <c r="E100" s="55">
        <v>3.1</v>
      </c>
      <c r="F100" s="195" cm="1">
        <f t="array" ref="F100">F$30*(CPI*C100)+CPI*C100*(IndirectCom)</f>
        <v>874.30346168775725</v>
      </c>
      <c r="G100" s="195" cm="1">
        <f t="array" ref="G100">G$30*(CPI*C100)+CPI*C100*(IndirectCom)</f>
        <v>1124.1044507414022</v>
      </c>
      <c r="H100" s="196" cm="1">
        <f t="array" ref="H100">H$30*(CPI*C100)+CPI*C100*(IndirectCom)</f>
        <v>1623.706428848692</v>
      </c>
      <c r="I100" s="195" cm="1">
        <f t="array" ref="I100">I$30*(CPI*C100)+CPI*C100*(IndirectCom)</f>
        <v>2248.2089014828043</v>
      </c>
      <c r="O100" s="55">
        <v>3.1</v>
      </c>
      <c r="P100" s="56">
        <f>Com1I[[#This Row],[Default Average]]*P$30</f>
        <v>0</v>
      </c>
      <c r="Q100" s="56">
        <f>Com1I[[#This Row],[Default Average]]*Q$30</f>
        <v>0</v>
      </c>
      <c r="R100" s="196">
        <v>0</v>
      </c>
      <c r="S100" s="56">
        <f>Com1I[[#This Row],[Default Average]]*S$30</f>
        <v>0</v>
      </c>
    </row>
    <row r="101" spans="3:19" x14ac:dyDescent="0.3">
      <c r="C101" s="291">
        <v>1242.2531818181819</v>
      </c>
      <c r="E101" s="55">
        <v>3.15</v>
      </c>
      <c r="F101" s="195" cm="1">
        <f t="array" ref="F101">F$30*(CPI*C101)+CPI*C101*(IndirectCom)</f>
        <v>876.26057060787207</v>
      </c>
      <c r="G101" s="195" cm="1">
        <f t="array" ref="G101">G$30*(CPI*C101)+CPI*C101*(IndirectCom)</f>
        <v>1126.6207336386926</v>
      </c>
      <c r="H101" s="196" cm="1">
        <f t="array" ref="H101">H$30*(CPI*C101)+CPI*C101*(IndirectCom)</f>
        <v>1627.341059700334</v>
      </c>
      <c r="I101" s="195" cm="1">
        <f t="array" ref="I101">I$30*(CPI*C101)+CPI*C101*(IndirectCom)</f>
        <v>2253.2414672773853</v>
      </c>
      <c r="O101" s="55">
        <v>3.15</v>
      </c>
      <c r="P101" s="56">
        <f>Com1I[[#This Row],[Default Average]]*P$30</f>
        <v>0</v>
      </c>
      <c r="Q101" s="56">
        <f>Com1I[[#This Row],[Default Average]]*Q$30</f>
        <v>0</v>
      </c>
      <c r="R101" s="196">
        <v>0</v>
      </c>
      <c r="S101" s="56">
        <f>Com1I[[#This Row],[Default Average]]*S$30</f>
        <v>0</v>
      </c>
    </row>
    <row r="102" spans="3:19" x14ac:dyDescent="0.3">
      <c r="C102" s="291">
        <v>1245.0277272727274</v>
      </c>
      <c r="E102" s="55">
        <v>3.2</v>
      </c>
      <c r="F102" s="195" cm="1">
        <f t="array" ref="F102">F$30*(CPI*C102)+CPI*C102*(IndirectCom)</f>
        <v>878.21767952798712</v>
      </c>
      <c r="G102" s="195" cm="1">
        <f t="array" ref="G102">G$30*(CPI*C102)+CPI*C102*(IndirectCom)</f>
        <v>1129.1370165359835</v>
      </c>
      <c r="H102" s="196" cm="1">
        <f t="array" ref="H102">H$30*(CPI*C102)+CPI*C102*(IndirectCom)</f>
        <v>1630.9756905519762</v>
      </c>
      <c r="I102" s="195" cm="1">
        <f t="array" ref="I102">I$30*(CPI*C102)+CPI*C102*(IndirectCom)</f>
        <v>2258.2740330719666</v>
      </c>
      <c r="O102" s="55">
        <v>3.2</v>
      </c>
      <c r="P102" s="56">
        <f>Com1I[[#This Row],[Default Average]]*P$30</f>
        <v>0</v>
      </c>
      <c r="Q102" s="56">
        <f>Com1I[[#This Row],[Default Average]]*Q$30</f>
        <v>0</v>
      </c>
      <c r="R102" s="196">
        <v>0</v>
      </c>
      <c r="S102" s="56">
        <f>Com1I[[#This Row],[Default Average]]*S$30</f>
        <v>0</v>
      </c>
    </row>
    <row r="103" spans="3:19" x14ac:dyDescent="0.3">
      <c r="C103" s="291">
        <v>1247.8022727272728</v>
      </c>
      <c r="E103" s="55">
        <v>3.25</v>
      </c>
      <c r="F103" s="195" cm="1">
        <f t="array" ref="F103">F$30*(CPI*C103)+CPI*C103*(IndirectCom)</f>
        <v>880.17478844810194</v>
      </c>
      <c r="G103" s="195" cm="1">
        <f t="array" ref="G103">G$30*(CPI*C103)+CPI*C103*(IndirectCom)</f>
        <v>1131.6532994332738</v>
      </c>
      <c r="H103" s="196" cm="1">
        <f t="array" ref="H103">H$30*(CPI*C103)+CPI*C103*(IndirectCom)</f>
        <v>1634.6103214036179</v>
      </c>
      <c r="I103" s="195" cm="1">
        <f t="array" ref="I103">I$30*(CPI*C103)+CPI*C103*(IndirectCom)</f>
        <v>2263.3065988665476</v>
      </c>
      <c r="O103" s="55">
        <v>3.25</v>
      </c>
      <c r="P103" s="56">
        <f>Com1I[[#This Row],[Default Average]]*P$30</f>
        <v>0</v>
      </c>
      <c r="Q103" s="56">
        <f>Com1I[[#This Row],[Default Average]]*Q$30</f>
        <v>0</v>
      </c>
      <c r="R103" s="196">
        <v>0</v>
      </c>
      <c r="S103" s="56">
        <f>Com1I[[#This Row],[Default Average]]*S$30</f>
        <v>0</v>
      </c>
    </row>
    <row r="104" spans="3:19" x14ac:dyDescent="0.3">
      <c r="C104" s="291">
        <v>1250.5768181818182</v>
      </c>
      <c r="E104" s="55">
        <v>3.3</v>
      </c>
      <c r="F104" s="195" cm="1">
        <f t="array" ref="F104">F$30*(CPI*C104)+CPI*C104*(IndirectCom)</f>
        <v>882.13189736821687</v>
      </c>
      <c r="G104" s="195" cm="1">
        <f t="array" ref="G104">G$30*(CPI*C104)+CPI*C104*(IndirectCom)</f>
        <v>1134.1695823305645</v>
      </c>
      <c r="H104" s="196" cm="1">
        <f t="array" ref="H104">H$30*(CPI*C104)+CPI*C104*(IndirectCom)</f>
        <v>1638.2449522552597</v>
      </c>
      <c r="I104" s="195" cm="1">
        <f t="array" ref="I104">I$30*(CPI*C104)+CPI*C104*(IndirectCom)</f>
        <v>2268.339164661129</v>
      </c>
      <c r="O104" s="55">
        <v>3.3</v>
      </c>
      <c r="P104" s="56">
        <f>Com1I[[#This Row],[Default Average]]*P$30</f>
        <v>0</v>
      </c>
      <c r="Q104" s="56">
        <f>Com1I[[#This Row],[Default Average]]*Q$30</f>
        <v>0</v>
      </c>
      <c r="R104" s="196">
        <v>0</v>
      </c>
      <c r="S104" s="56">
        <f>Com1I[[#This Row],[Default Average]]*S$30</f>
        <v>0</v>
      </c>
    </row>
    <row r="105" spans="3:19" x14ac:dyDescent="0.3">
      <c r="C105" s="291">
        <v>1253.3513636363637</v>
      </c>
      <c r="E105" s="55">
        <v>3.35</v>
      </c>
      <c r="F105" s="195" cm="1">
        <f t="array" ref="F105">F$30*(CPI*C105)+CPI*C105*(IndirectCom)</f>
        <v>884.08900628833169</v>
      </c>
      <c r="G105" s="195" cm="1">
        <f t="array" ref="G105">G$30*(CPI*C105)+CPI*C105*(IndirectCom)</f>
        <v>1136.6858652278549</v>
      </c>
      <c r="H105" s="196" cm="1">
        <f t="array" ref="H105">H$30*(CPI*C105)+CPI*C105*(IndirectCom)</f>
        <v>1641.8795831069017</v>
      </c>
      <c r="I105" s="195" cm="1">
        <f t="array" ref="I105">I$30*(CPI*C105)+CPI*C105*(IndirectCom)</f>
        <v>2273.3717304557099</v>
      </c>
      <c r="O105" s="55">
        <v>3.35</v>
      </c>
      <c r="P105" s="56">
        <f>Com1I[[#This Row],[Default Average]]*P$30</f>
        <v>0</v>
      </c>
      <c r="Q105" s="56">
        <f>Com1I[[#This Row],[Default Average]]*Q$30</f>
        <v>0</v>
      </c>
      <c r="R105" s="196">
        <v>0</v>
      </c>
      <c r="S105" s="56">
        <f>Com1I[[#This Row],[Default Average]]*S$30</f>
        <v>0</v>
      </c>
    </row>
    <row r="106" spans="3:19" x14ac:dyDescent="0.3">
      <c r="C106" s="291">
        <v>1256.1259090909091</v>
      </c>
      <c r="E106" s="55">
        <v>3.4</v>
      </c>
      <c r="F106" s="195" cm="1">
        <f t="array" ref="F106">F$30*(CPI*C106)+CPI*C106*(IndirectCom)</f>
        <v>886.04611520844662</v>
      </c>
      <c r="G106" s="195" cm="1">
        <f t="array" ref="G106">G$30*(CPI*C106)+CPI*C106*(IndirectCom)</f>
        <v>1139.2021481251456</v>
      </c>
      <c r="H106" s="196" cm="1">
        <f t="array" ref="H106">H$30*(CPI*C106)+CPI*C106*(IndirectCom)</f>
        <v>1645.5142139585437</v>
      </c>
      <c r="I106" s="195" cm="1">
        <f t="array" ref="I106">I$30*(CPI*C106)+CPI*C106*(IndirectCom)</f>
        <v>2278.4042962502913</v>
      </c>
      <c r="O106" s="55">
        <v>3.4</v>
      </c>
      <c r="P106" s="56">
        <f>Com1I[[#This Row],[Default Average]]*P$30</f>
        <v>0</v>
      </c>
      <c r="Q106" s="56">
        <f>Com1I[[#This Row],[Default Average]]*Q$30</f>
        <v>0</v>
      </c>
      <c r="R106" s="196">
        <v>0</v>
      </c>
      <c r="S106" s="56">
        <f>Com1I[[#This Row],[Default Average]]*S$30</f>
        <v>0</v>
      </c>
    </row>
    <row r="107" spans="3:19" x14ac:dyDescent="0.3">
      <c r="C107" s="291">
        <v>1258.9004545454545</v>
      </c>
      <c r="E107" s="55">
        <v>3.45</v>
      </c>
      <c r="F107" s="195" cm="1">
        <f t="array" ref="F107">F$30*(CPI*C107)+CPI*C107*(IndirectCom)</f>
        <v>888.00322412856144</v>
      </c>
      <c r="G107" s="195" cm="1">
        <f t="array" ref="G107">G$30*(CPI*C107)+CPI*C107*(IndirectCom)</f>
        <v>1141.7184310224361</v>
      </c>
      <c r="H107" s="196" cm="1">
        <f t="array" ref="H107">H$30*(CPI*C107)+CPI*C107*(IndirectCom)</f>
        <v>1649.1488448101857</v>
      </c>
      <c r="I107" s="195" cm="1">
        <f t="array" ref="I107">I$30*(CPI*C107)+CPI*C107*(IndirectCom)</f>
        <v>2283.4368620448722</v>
      </c>
      <c r="O107" s="55">
        <v>3.45</v>
      </c>
      <c r="P107" s="56">
        <f>Com1I[[#This Row],[Default Average]]*P$30</f>
        <v>0</v>
      </c>
      <c r="Q107" s="56">
        <f>Com1I[[#This Row],[Default Average]]*Q$30</f>
        <v>0</v>
      </c>
      <c r="R107" s="196">
        <v>0</v>
      </c>
      <c r="S107" s="56">
        <f>Com1I[[#This Row],[Default Average]]*S$30</f>
        <v>0</v>
      </c>
    </row>
    <row r="108" spans="3:19" x14ac:dyDescent="0.3">
      <c r="C108" s="292">
        <v>1261.675</v>
      </c>
      <c r="E108" s="57">
        <v>3.5</v>
      </c>
      <c r="F108" s="195" cm="1">
        <f t="array" ref="F108">F$30*(CPI*C108)+CPI*C108*(IndirectCom)</f>
        <v>889.96033304867638</v>
      </c>
      <c r="G108" s="195" cm="1">
        <f t="array" ref="G108">G$30*(CPI*C108)+CPI*C108*(IndirectCom)</f>
        <v>1144.2347139197268</v>
      </c>
      <c r="H108" s="196" cm="1">
        <f t="array" ref="H108">H$30*(CPI*C108)+CPI*C108*(IndirectCom)</f>
        <v>1652.7834756618274</v>
      </c>
      <c r="I108" s="195" cm="1">
        <f t="array" ref="I108">I$30*(CPI*C108)+CPI*C108*(IndirectCom)</f>
        <v>2288.4694278394536</v>
      </c>
      <c r="O108" s="57">
        <v>3.5</v>
      </c>
      <c r="P108" s="56">
        <f>Com1I[[#This Row],[Default Average]]*P$30</f>
        <v>0</v>
      </c>
      <c r="Q108" s="56">
        <f>Com1I[[#This Row],[Default Average]]*Q$30</f>
        <v>0</v>
      </c>
      <c r="R108" s="196">
        <v>0</v>
      </c>
      <c r="S108" s="56">
        <f>Com1I[[#This Row],[Default Average]]*S$30</f>
        <v>0</v>
      </c>
    </row>
    <row r="109" spans="3:19" x14ac:dyDescent="0.3">
      <c r="C109" s="291">
        <v>1264.4495454545454</v>
      </c>
      <c r="E109" s="55">
        <v>3.55</v>
      </c>
      <c r="F109" s="195" cm="1">
        <f t="array" ref="F109">F$30*(CPI*C109)+CPI*C109*(IndirectCom)</f>
        <v>891.91744196879119</v>
      </c>
      <c r="G109" s="195" cm="1">
        <f t="array" ref="G109">G$30*(CPI*C109)+CPI*C109*(IndirectCom)</f>
        <v>1146.750996817017</v>
      </c>
      <c r="H109" s="196" cm="1">
        <f t="array" ref="H109">H$30*(CPI*C109)+CPI*C109*(IndirectCom)</f>
        <v>1656.4181065134694</v>
      </c>
      <c r="I109" s="195" cm="1">
        <f t="array" ref="I109">I$30*(CPI*C109)+CPI*C109*(IndirectCom)</f>
        <v>2293.5019936340345</v>
      </c>
      <c r="O109" s="55">
        <v>3.55</v>
      </c>
      <c r="P109" s="56">
        <f>Com1I[[#This Row],[Default Average]]*P$30</f>
        <v>0</v>
      </c>
      <c r="Q109" s="56">
        <f>Com1I[[#This Row],[Default Average]]*Q$30</f>
        <v>0</v>
      </c>
      <c r="R109" s="196">
        <v>0</v>
      </c>
      <c r="S109" s="56">
        <f>Com1I[[#This Row],[Default Average]]*S$30</f>
        <v>0</v>
      </c>
    </row>
    <row r="110" spans="3:19" x14ac:dyDescent="0.3">
      <c r="C110" s="292">
        <v>1267.2240909090908</v>
      </c>
      <c r="E110" s="57">
        <v>3.6</v>
      </c>
      <c r="F110" s="195" cm="1">
        <f t="array" ref="F110">F$30*(CPI*C110)+CPI*C110*(IndirectCom)</f>
        <v>893.87455088890624</v>
      </c>
      <c r="G110" s="195" cm="1">
        <f t="array" ref="G110">G$30*(CPI*C110)+CPI*C110*(IndirectCom)</f>
        <v>1149.267279714308</v>
      </c>
      <c r="H110" s="196" cm="1">
        <f t="array" ref="H110">H$30*(CPI*C110)+CPI*C110*(IndirectCom)</f>
        <v>1660.0527373651114</v>
      </c>
      <c r="I110" s="195" cm="1">
        <f t="array" ref="I110">I$30*(CPI*C110)+CPI*C110*(IndirectCom)</f>
        <v>2298.5345594286159</v>
      </c>
      <c r="O110" s="57">
        <v>3.6</v>
      </c>
      <c r="P110" s="56">
        <f>Com1I[[#This Row],[Default Average]]*P$30</f>
        <v>0</v>
      </c>
      <c r="Q110" s="56">
        <f>Com1I[[#This Row],[Default Average]]*Q$30</f>
        <v>0</v>
      </c>
      <c r="R110" s="196">
        <v>0</v>
      </c>
      <c r="S110" s="56">
        <f>Com1I[[#This Row],[Default Average]]*S$30</f>
        <v>0</v>
      </c>
    </row>
    <row r="111" spans="3:19" x14ac:dyDescent="0.3">
      <c r="C111" s="291">
        <v>1269.9986363636365</v>
      </c>
      <c r="E111" s="55">
        <v>3.65</v>
      </c>
      <c r="F111" s="195" cm="1">
        <f t="array" ref="F111">F$30*(CPI*C111)+CPI*C111*(IndirectCom)</f>
        <v>895.83165980902118</v>
      </c>
      <c r="G111" s="195" cm="1">
        <f t="array" ref="G111">G$30*(CPI*C111)+CPI*C111*(IndirectCom)</f>
        <v>1151.7835626115987</v>
      </c>
      <c r="H111" s="196" cm="1">
        <f t="array" ref="H111">H$30*(CPI*C111)+CPI*C111*(IndirectCom)</f>
        <v>1663.6873682167536</v>
      </c>
      <c r="I111" s="195" cm="1">
        <f t="array" ref="I111">I$30*(CPI*C111)+CPI*C111*(IndirectCom)</f>
        <v>2303.5671252231973</v>
      </c>
      <c r="O111" s="55">
        <v>3.65</v>
      </c>
      <c r="P111" s="56">
        <f>Com1I[[#This Row],[Default Average]]*P$30</f>
        <v>0</v>
      </c>
      <c r="Q111" s="56">
        <f>Com1I[[#This Row],[Default Average]]*Q$30</f>
        <v>0</v>
      </c>
      <c r="R111" s="196">
        <v>0</v>
      </c>
      <c r="S111" s="56">
        <f>Com1I[[#This Row],[Default Average]]*S$30</f>
        <v>0</v>
      </c>
    </row>
    <row r="112" spans="3:19" x14ac:dyDescent="0.3">
      <c r="C112" s="292">
        <v>1272.7731818181819</v>
      </c>
      <c r="E112" s="57">
        <v>3.7</v>
      </c>
      <c r="F112" s="195" cm="1">
        <f t="array" ref="F112">F$30*(CPI*C112)+CPI*C112*(IndirectCom)</f>
        <v>897.78876872913611</v>
      </c>
      <c r="G112" s="195" cm="1">
        <f t="array" ref="G112">G$30*(CPI*C112)+CPI*C112*(IndirectCom)</f>
        <v>1154.2998455088891</v>
      </c>
      <c r="H112" s="196" cm="1">
        <f t="array" ref="H112">H$30*(CPI*C112)+CPI*C112*(IndirectCom)</f>
        <v>1667.3219990683954</v>
      </c>
      <c r="I112" s="195" cm="1">
        <f t="array" ref="I112">I$30*(CPI*C112)+CPI*C112*(IndirectCom)</f>
        <v>2308.5996910177782</v>
      </c>
      <c r="O112" s="57">
        <v>3.7</v>
      </c>
      <c r="P112" s="56">
        <f>Com1I[[#This Row],[Default Average]]*P$30</f>
        <v>0</v>
      </c>
      <c r="Q112" s="56">
        <f>Com1I[[#This Row],[Default Average]]*Q$30</f>
        <v>0</v>
      </c>
      <c r="R112" s="196">
        <v>0</v>
      </c>
      <c r="S112" s="56">
        <f>Com1I[[#This Row],[Default Average]]*S$30</f>
        <v>0</v>
      </c>
    </row>
    <row r="113" spans="3:19" x14ac:dyDescent="0.3">
      <c r="C113" s="291">
        <v>1275.5477272727273</v>
      </c>
      <c r="E113" s="55">
        <v>3.75</v>
      </c>
      <c r="F113" s="195" cm="1">
        <f t="array" ref="F113">F$30*(CPI*C113)+CPI*C113*(IndirectCom)</f>
        <v>899.74587764925082</v>
      </c>
      <c r="G113" s="195" cm="1">
        <f t="array" ref="G113">G$30*(CPI*C113)+CPI*C113*(IndirectCom)</f>
        <v>1156.8161284061796</v>
      </c>
      <c r="H113" s="196" cm="1">
        <f t="array" ref="H113">H$30*(CPI*C113)+CPI*C113*(IndirectCom)</f>
        <v>1670.9566299200374</v>
      </c>
      <c r="I113" s="195" cm="1">
        <f t="array" ref="I113">I$30*(CPI*C113)+CPI*C113*(IndirectCom)</f>
        <v>2313.6322568123592</v>
      </c>
      <c r="O113" s="55">
        <v>3.75</v>
      </c>
      <c r="P113" s="56">
        <f>Com1I[[#This Row],[Default Average]]*P$30</f>
        <v>0</v>
      </c>
      <c r="Q113" s="56">
        <f>Com1I[[#This Row],[Default Average]]*Q$30</f>
        <v>0</v>
      </c>
      <c r="R113" s="196">
        <v>0</v>
      </c>
      <c r="S113" s="56">
        <f>Com1I[[#This Row],[Default Average]]*S$30</f>
        <v>0</v>
      </c>
    </row>
    <row r="114" spans="3:19" x14ac:dyDescent="0.3">
      <c r="C114" s="292">
        <v>1278.3221617498937</v>
      </c>
      <c r="E114" s="57">
        <v>3.8</v>
      </c>
      <c r="F114" s="195" cm="1">
        <f t="array" ref="F114">F$30*(CPI*C114)+CPI*C114*(IndirectCom)</f>
        <v>901.70290828814018</v>
      </c>
      <c r="G114" s="195" cm="1">
        <f t="array" ref="G114">G$30*(CPI*C114)+CPI*C114*(IndirectCom)</f>
        <v>1159.3323106561802</v>
      </c>
      <c r="H114" s="196" cm="1">
        <f t="array" ref="H114">H$30*(CPI*C114)+CPI*C114*(IndirectCom)</f>
        <v>1674.5911153922605</v>
      </c>
      <c r="I114" s="195" cm="1">
        <f t="array" ref="I114">I$30*(CPI*C114)+CPI*C114*(IndirectCom)</f>
        <v>2318.6646213123604</v>
      </c>
      <c r="O114" s="57">
        <v>3.8</v>
      </c>
      <c r="P114" s="56">
        <f>Com1I[[#This Row],[Default Average]]*P$30</f>
        <v>0</v>
      </c>
      <c r="Q114" s="56">
        <f>Com1I[[#This Row],[Default Average]]*Q$30</f>
        <v>0</v>
      </c>
      <c r="R114" s="196">
        <v>0</v>
      </c>
      <c r="S114" s="56">
        <f>Com1I[[#This Row],[Default Average]]*S$30</f>
        <v>0</v>
      </c>
    </row>
    <row r="115" spans="3:19" x14ac:dyDescent="0.3">
      <c r="C115" s="291">
        <v>1281.09659622706</v>
      </c>
      <c r="E115" s="55">
        <v>3.85</v>
      </c>
      <c r="F115" s="195" cm="1">
        <f t="array" ref="F115">F$30*(CPI*C115)+CPI*C115*(IndirectCom)</f>
        <v>903.65993892702954</v>
      </c>
      <c r="G115" s="195" cm="1">
        <f t="array" ref="G115">G$30*(CPI*C115)+CPI*C115*(IndirectCom)</f>
        <v>1161.8484929061808</v>
      </c>
      <c r="H115" s="196" cm="1">
        <f t="array" ref="H115">H$30*(CPI*C115)+CPI*C115*(IndirectCom)</f>
        <v>1678.2256008644836</v>
      </c>
      <c r="I115" s="195" cm="1">
        <f t="array" ref="I115">I$30*(CPI*C115)+CPI*C115*(IndirectCom)</f>
        <v>2323.6969858123616</v>
      </c>
      <c r="O115" s="55">
        <v>3.85</v>
      </c>
      <c r="P115" s="56">
        <f>Com1I[[#This Row],[Default Average]]*P$30</f>
        <v>0</v>
      </c>
      <c r="Q115" s="56">
        <f>Com1I[[#This Row],[Default Average]]*Q$30</f>
        <v>0</v>
      </c>
      <c r="R115" s="196">
        <v>0</v>
      </c>
      <c r="S115" s="56">
        <f>Com1I[[#This Row],[Default Average]]*S$30</f>
        <v>0</v>
      </c>
    </row>
    <row r="116" spans="3:19" x14ac:dyDescent="0.3">
      <c r="C116" s="292">
        <v>1283.8710307042263</v>
      </c>
      <c r="E116" s="57">
        <v>3.9</v>
      </c>
      <c r="F116" s="195" cm="1">
        <f t="array" ref="F116">F$30*(CPI*C116)+CPI*C116*(IndirectCom)</f>
        <v>905.61696956591879</v>
      </c>
      <c r="G116" s="195" cm="1">
        <f t="array" ref="G116">G$30*(CPI*C116)+CPI*C116*(IndirectCom)</f>
        <v>1164.3646751561814</v>
      </c>
      <c r="H116" s="196" cm="1">
        <f t="array" ref="H116">H$30*(CPI*C116)+CPI*C116*(IndirectCom)</f>
        <v>1681.8600863367064</v>
      </c>
      <c r="I116" s="195" cm="1">
        <f t="array" ref="I116">I$30*(CPI*C116)+CPI*C116*(IndirectCom)</f>
        <v>2328.7293503123624</v>
      </c>
      <c r="O116" s="57">
        <v>3.9</v>
      </c>
      <c r="P116" s="56">
        <f>Com1I[[#This Row],[Default Average]]*P$30</f>
        <v>0</v>
      </c>
      <c r="Q116" s="56">
        <f>Com1I[[#This Row],[Default Average]]*Q$30</f>
        <v>0</v>
      </c>
      <c r="R116" s="196">
        <v>0</v>
      </c>
      <c r="S116" s="56">
        <f>Com1I[[#This Row],[Default Average]]*S$30</f>
        <v>0</v>
      </c>
    </row>
    <row r="117" spans="3:19" x14ac:dyDescent="0.3">
      <c r="C117" s="291">
        <v>1286.6454651813929</v>
      </c>
      <c r="E117" s="55">
        <v>3.95</v>
      </c>
      <c r="F117" s="195" cm="1">
        <f t="array" ref="F117">F$30*(CPI*C117)+CPI*C117*(IndirectCom)</f>
        <v>907.57400020480827</v>
      </c>
      <c r="G117" s="195" cm="1">
        <f t="array" ref="G117">G$30*(CPI*C117)+CPI*C117*(IndirectCom)</f>
        <v>1166.880857406182</v>
      </c>
      <c r="H117" s="196" cm="1">
        <f t="array" ref="H117">H$30*(CPI*C117)+CPI*C117*(IndirectCom)</f>
        <v>1685.4945718089298</v>
      </c>
      <c r="I117" s="195" cm="1">
        <f t="array" ref="I117">I$30*(CPI*C117)+CPI*C117*(IndirectCom)</f>
        <v>2333.7617148123641</v>
      </c>
      <c r="O117" s="55">
        <v>3.95</v>
      </c>
      <c r="P117" s="56">
        <f>Com1I[[#This Row],[Default Average]]*P$30</f>
        <v>0</v>
      </c>
      <c r="Q117" s="56">
        <f>Com1I[[#This Row],[Default Average]]*Q$30</f>
        <v>0</v>
      </c>
      <c r="R117" s="196">
        <v>0</v>
      </c>
      <c r="S117" s="56">
        <f>Com1I[[#This Row],[Default Average]]*S$30</f>
        <v>0</v>
      </c>
    </row>
    <row r="118" spans="3:19" ht="15" thickBot="1" x14ac:dyDescent="0.35">
      <c r="C118" s="293">
        <v>1289.4198996585592</v>
      </c>
      <c r="E118" s="57">
        <v>4</v>
      </c>
      <c r="F118" s="195" cm="1">
        <f t="array" ref="F118">F$30*(CPI*C118)+CPI*C118*(IndirectCom)</f>
        <v>909.53103084369764</v>
      </c>
      <c r="G118" s="195" cm="1">
        <f t="array" ref="G118">G$30*(CPI*C118)+CPI*C118*(IndirectCom)</f>
        <v>1169.3970396561826</v>
      </c>
      <c r="H118" s="196" cm="1">
        <f t="array" ref="H118">H$30*(CPI*C118)+CPI*C118*(IndirectCom)</f>
        <v>1689.1290572811529</v>
      </c>
      <c r="I118" s="195" cm="1">
        <f t="array" ref="I118">I$30*(CPI*C118)+CPI*C118*(IndirectCom)</f>
        <v>2338.7940793123653</v>
      </c>
      <c r="O118" s="57">
        <v>4</v>
      </c>
      <c r="P118" s="56">
        <f>Com1I[[#This Row],[Default Average]]*P$30</f>
        <v>0</v>
      </c>
      <c r="Q118" s="56">
        <f>Com1I[[#This Row],[Default Average]]*Q$30</f>
        <v>0</v>
      </c>
      <c r="R118" s="196">
        <v>0</v>
      </c>
      <c r="S118" s="56">
        <f>Com1I[[#This Row],[Default Average]]*S$30</f>
        <v>0</v>
      </c>
    </row>
    <row r="119" spans="3:19" x14ac:dyDescent="0.3">
      <c r="E119"/>
      <c r="F119"/>
      <c r="G119"/>
      <c r="H119"/>
      <c r="I119"/>
      <c r="O119"/>
      <c r="P119"/>
      <c r="Q119"/>
      <c r="R119"/>
      <c r="S119"/>
    </row>
    <row r="120" spans="3:19" x14ac:dyDescent="0.3">
      <c r="E120"/>
      <c r="F120"/>
      <c r="G120"/>
      <c r="H120"/>
      <c r="I120"/>
      <c r="O120"/>
      <c r="P120"/>
      <c r="Q120"/>
      <c r="R120"/>
      <c r="S120"/>
    </row>
    <row r="121" spans="3:19" x14ac:dyDescent="0.3">
      <c r="E121"/>
      <c r="F121"/>
      <c r="G121"/>
      <c r="H121"/>
      <c r="I121"/>
      <c r="O121"/>
      <c r="P121"/>
      <c r="Q121"/>
      <c r="R121"/>
      <c r="S121"/>
    </row>
    <row r="122" spans="3:19" x14ac:dyDescent="0.3">
      <c r="E122"/>
      <c r="F122"/>
      <c r="G122"/>
      <c r="H122"/>
      <c r="I122"/>
      <c r="O122"/>
      <c r="P122"/>
      <c r="Q122"/>
      <c r="R122"/>
      <c r="S122"/>
    </row>
    <row r="123" spans="3:19" x14ac:dyDescent="0.3">
      <c r="E123"/>
      <c r="F123"/>
      <c r="G123"/>
      <c r="H123"/>
      <c r="I123"/>
      <c r="O123"/>
      <c r="P123"/>
      <c r="Q123"/>
      <c r="R123"/>
      <c r="S123"/>
    </row>
    <row r="124" spans="3:19" x14ac:dyDescent="0.3">
      <c r="E124"/>
      <c r="F124"/>
      <c r="G124"/>
      <c r="H124"/>
      <c r="I124"/>
      <c r="O124"/>
      <c r="P124"/>
      <c r="Q124"/>
      <c r="R124"/>
      <c r="S124"/>
    </row>
    <row r="125" spans="3:19" x14ac:dyDescent="0.3">
      <c r="E125"/>
      <c r="F125"/>
      <c r="G125"/>
      <c r="H125"/>
      <c r="I125"/>
      <c r="O125"/>
      <c r="P125"/>
      <c r="Q125"/>
      <c r="R125"/>
      <c r="S125"/>
    </row>
    <row r="126" spans="3:19" x14ac:dyDescent="0.3">
      <c r="E126"/>
      <c r="F126"/>
      <c r="G126"/>
      <c r="H126"/>
      <c r="I126"/>
      <c r="O126"/>
      <c r="P126"/>
      <c r="Q126"/>
      <c r="R126"/>
      <c r="S126"/>
    </row>
    <row r="127" spans="3:19" x14ac:dyDescent="0.3">
      <c r="E127"/>
      <c r="F127"/>
      <c r="G127"/>
      <c r="H127"/>
      <c r="I127"/>
      <c r="O127"/>
      <c r="P127"/>
      <c r="Q127"/>
      <c r="R127"/>
      <c r="S127"/>
    </row>
    <row r="128" spans="3:19" x14ac:dyDescent="0.3">
      <c r="E128"/>
      <c r="F128"/>
      <c r="G128"/>
      <c r="H128"/>
      <c r="I128"/>
      <c r="O128"/>
      <c r="P128"/>
      <c r="Q128"/>
      <c r="R128"/>
      <c r="S128"/>
    </row>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sheetData>
  <sheetProtection algorithmName="SHA-512" hashValue="C3F6MgCOaMytLwHaagjnk1Vy12gQnDAiAWMdTreOuGlgoRj58GhVIGDP9Zgij51/PafeLhBzMaxV3lF3LnWOKg==" saltValue="7PLrqxj3N03lbg/c1tVkZg==" spinCount="100000" sheet="1" objects="1" scenarios="1"/>
  <mergeCells count="4">
    <mergeCell ref="B2:I2"/>
    <mergeCell ref="E28:I28"/>
    <mergeCell ref="L2:S2"/>
    <mergeCell ref="O28:S28"/>
  </mergeCells>
  <pageMargins left="0.23622047244094491" right="0.23622047244094491" top="0.74803149606299213" bottom="0.74803149606299213" header="0.31496062992125984" footer="0.31496062992125984"/>
  <pageSetup paperSize="9" fitToWidth="0" fitToHeight="0" orientation="portrait" horizontalDpi="1200" verticalDpi="1200" r:id="rId1"/>
  <headerFooter>
    <oddFooter>&amp;R&amp;"-,Italic"&amp;K03+000Page &amp;P of &amp;N</oddFooter>
  </headerFooter>
  <colBreaks count="1" manualBreakCount="1">
    <brk id="10" max="1048575" man="1"/>
  </colBreaks>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8D597-1C23-48B3-84E1-FA4DC8974BDB}">
  <sheetPr codeName="Sheet3">
    <tabColor theme="7"/>
    <pageSetUpPr fitToPage="1"/>
  </sheetPr>
  <dimension ref="A1:J53"/>
  <sheetViews>
    <sheetView zoomScaleNormal="100" workbookViewId="0">
      <selection activeCell="E45" sqref="E45"/>
    </sheetView>
  </sheetViews>
  <sheetFormatPr defaultRowHeight="14.4" x14ac:dyDescent="0.3"/>
  <cols>
    <col min="1" max="1" width="3" customWidth="1"/>
    <col min="2" max="2" width="32.77734375" customWidth="1"/>
    <col min="3" max="3" width="11.21875" bestFit="1" customWidth="1"/>
    <col min="4" max="4" width="12.21875" bestFit="1" customWidth="1"/>
    <col min="5" max="5" width="13.21875" bestFit="1" customWidth="1"/>
    <col min="10" max="10" width="3" customWidth="1"/>
  </cols>
  <sheetData>
    <row r="1" spans="1:10" ht="15" thickBot="1" x14ac:dyDescent="0.35">
      <c r="A1" s="5"/>
      <c r="B1" s="6"/>
      <c r="C1" s="6"/>
      <c r="D1" s="6"/>
      <c r="E1" s="6"/>
      <c r="F1" s="6"/>
      <c r="G1" s="6"/>
      <c r="H1" s="6"/>
      <c r="I1" s="6"/>
      <c r="J1" s="7"/>
    </row>
    <row r="2" spans="1:10" ht="24" thickBot="1" x14ac:dyDescent="0.5">
      <c r="A2" s="8"/>
      <c r="B2" s="553" t="s">
        <v>9</v>
      </c>
      <c r="C2" s="554"/>
      <c r="D2" s="554"/>
      <c r="E2" s="554"/>
      <c r="F2" s="554"/>
      <c r="G2" s="554"/>
      <c r="H2" s="554"/>
      <c r="I2" s="555"/>
      <c r="J2" s="9"/>
    </row>
    <row r="3" spans="1:10" x14ac:dyDescent="0.3">
      <c r="A3" s="8"/>
      <c r="B3" s="11"/>
      <c r="C3" s="11"/>
      <c r="D3" s="11"/>
      <c r="E3" s="11"/>
      <c r="F3" s="11"/>
      <c r="G3" s="11"/>
      <c r="H3" s="11"/>
      <c r="I3" s="11"/>
      <c r="J3" s="9"/>
    </row>
    <row r="4" spans="1:10" x14ac:dyDescent="0.3">
      <c r="A4" s="8"/>
      <c r="B4" s="301"/>
      <c r="C4" s="301"/>
      <c r="D4" s="301"/>
      <c r="E4" s="301"/>
      <c r="F4" s="301"/>
      <c r="G4" s="301"/>
      <c r="H4" s="301"/>
      <c r="I4" s="301"/>
      <c r="J4" s="9"/>
    </row>
    <row r="5" spans="1:10" x14ac:dyDescent="0.3">
      <c r="A5" s="8"/>
      <c r="B5" s="301"/>
      <c r="C5" s="301"/>
      <c r="D5" s="301"/>
      <c r="E5" s="301"/>
      <c r="F5" s="301"/>
      <c r="G5" s="301"/>
      <c r="H5" s="301"/>
      <c r="I5" s="301"/>
      <c r="J5" s="9"/>
    </row>
    <row r="6" spans="1:10" x14ac:dyDescent="0.3">
      <c r="A6" s="8"/>
      <c r="B6" s="301"/>
      <c r="C6" s="301"/>
      <c r="D6" s="301"/>
      <c r="E6" s="301"/>
      <c r="F6" s="301"/>
      <c r="G6" s="301"/>
      <c r="H6" s="301"/>
      <c r="I6" s="301"/>
      <c r="J6" s="9"/>
    </row>
    <row r="7" spans="1:10" x14ac:dyDescent="0.3">
      <c r="A7" s="8"/>
      <c r="B7" s="301"/>
      <c r="C7" s="301"/>
      <c r="D7" s="301"/>
      <c r="E7" s="301"/>
      <c r="F7" s="301"/>
      <c r="G7" s="301"/>
      <c r="H7" s="301"/>
      <c r="I7" s="301"/>
      <c r="J7" s="9"/>
    </row>
    <row r="8" spans="1:10" x14ac:dyDescent="0.3">
      <c r="A8" s="8"/>
      <c r="B8" s="301"/>
      <c r="C8" s="301"/>
      <c r="D8" s="301"/>
      <c r="E8" s="301"/>
      <c r="F8" s="301"/>
      <c r="G8" s="301"/>
      <c r="H8" s="301"/>
      <c r="I8" s="301"/>
      <c r="J8" s="9"/>
    </row>
    <row r="9" spans="1:10" x14ac:dyDescent="0.3">
      <c r="A9" s="8"/>
      <c r="B9" s="301"/>
      <c r="C9" s="301"/>
      <c r="D9" s="301"/>
      <c r="E9" s="301"/>
      <c r="F9" s="301"/>
      <c r="G9" s="301"/>
      <c r="H9" s="301"/>
      <c r="I9" s="301"/>
      <c r="J9" s="9"/>
    </row>
    <row r="10" spans="1:10" x14ac:dyDescent="0.3">
      <c r="A10" s="8"/>
      <c r="B10" s="301"/>
      <c r="C10" s="301"/>
      <c r="D10" s="301"/>
      <c r="E10" s="301"/>
      <c r="F10" s="301"/>
      <c r="G10" s="301"/>
      <c r="H10" s="301"/>
      <c r="I10" s="301"/>
      <c r="J10" s="9"/>
    </row>
    <row r="11" spans="1:10" x14ac:dyDescent="0.3">
      <c r="A11" s="8"/>
      <c r="B11" s="301"/>
      <c r="C11" s="301"/>
      <c r="D11" s="301"/>
      <c r="E11" s="301"/>
      <c r="F11" s="301"/>
      <c r="G11" s="301"/>
      <c r="H11" s="301"/>
      <c r="I11" s="301"/>
      <c r="J11" s="9"/>
    </row>
    <row r="12" spans="1:10" x14ac:dyDescent="0.3">
      <c r="A12" s="8"/>
      <c r="B12" s="301"/>
      <c r="C12" s="301"/>
      <c r="D12" s="301"/>
      <c r="E12" s="301"/>
      <c r="F12" s="301"/>
      <c r="G12" s="301"/>
      <c r="H12" s="301"/>
      <c r="I12" s="301"/>
      <c r="J12" s="9"/>
    </row>
    <row r="13" spans="1:10" x14ac:dyDescent="0.3">
      <c r="A13" s="8"/>
      <c r="B13" s="301"/>
      <c r="C13" s="301"/>
      <c r="D13" s="301"/>
      <c r="E13" s="301"/>
      <c r="F13" s="301"/>
      <c r="G13" s="301"/>
      <c r="H13" s="301"/>
      <c r="I13" s="301"/>
      <c r="J13" s="9"/>
    </row>
    <row r="14" spans="1:10" x14ac:dyDescent="0.3">
      <c r="A14" s="8"/>
      <c r="B14" s="301"/>
      <c r="C14" s="301"/>
      <c r="D14" s="301"/>
      <c r="E14" s="301"/>
      <c r="F14" s="301"/>
      <c r="G14" s="301"/>
      <c r="H14" s="301"/>
      <c r="I14" s="301"/>
      <c r="J14" s="9"/>
    </row>
    <row r="15" spans="1:10" x14ac:dyDescent="0.3">
      <c r="A15" s="8"/>
      <c r="B15" s="301"/>
      <c r="C15" s="301"/>
      <c r="D15" s="301"/>
      <c r="E15" s="301"/>
      <c r="F15" s="301"/>
      <c r="G15" s="301"/>
      <c r="H15" s="301"/>
      <c r="I15" s="301"/>
      <c r="J15" s="9"/>
    </row>
    <row r="16" spans="1:10" x14ac:dyDescent="0.3">
      <c r="A16" s="8"/>
      <c r="B16" s="11"/>
      <c r="C16" s="11"/>
      <c r="D16" s="11"/>
      <c r="E16" s="11"/>
      <c r="F16" s="11"/>
      <c r="G16" s="11"/>
      <c r="H16" s="11"/>
      <c r="I16" s="11"/>
      <c r="J16" s="9"/>
    </row>
    <row r="17" spans="1:10" x14ac:dyDescent="0.3">
      <c r="A17" s="8"/>
      <c r="B17" s="579" t="s">
        <v>10</v>
      </c>
      <c r="C17" s="578" t="s">
        <v>321</v>
      </c>
      <c r="D17" s="578"/>
      <c r="E17" s="578"/>
      <c r="F17" s="578"/>
      <c r="G17" s="578"/>
      <c r="H17" s="578"/>
      <c r="I17" s="578"/>
      <c r="J17" s="9"/>
    </row>
    <row r="18" spans="1:10" x14ac:dyDescent="0.3">
      <c r="A18" s="8"/>
      <c r="B18" s="579"/>
      <c r="C18" s="578"/>
      <c r="D18" s="578"/>
      <c r="E18" s="578"/>
      <c r="F18" s="578"/>
      <c r="G18" s="578"/>
      <c r="H18" s="578"/>
      <c r="I18" s="578"/>
      <c r="J18" s="9"/>
    </row>
    <row r="19" spans="1:10" x14ac:dyDescent="0.3">
      <c r="A19" s="8"/>
      <c r="B19" s="22" t="s">
        <v>11</v>
      </c>
      <c r="C19" s="383" t="s">
        <v>323</v>
      </c>
      <c r="J19" s="9"/>
    </row>
    <row r="20" spans="1:10" x14ac:dyDescent="0.3">
      <c r="A20" s="8"/>
      <c r="B20" s="10"/>
      <c r="J20" s="9"/>
    </row>
    <row r="21" spans="1:10" x14ac:dyDescent="0.3">
      <c r="A21" s="8"/>
      <c r="B21" s="22" t="s">
        <v>12</v>
      </c>
      <c r="C21" s="581" t="s">
        <v>383</v>
      </c>
      <c r="D21" s="581"/>
      <c r="J21" s="9"/>
    </row>
    <row r="22" spans="1:10" x14ac:dyDescent="0.3">
      <c r="A22" s="8"/>
      <c r="B22" s="10"/>
      <c r="J22" s="9"/>
    </row>
    <row r="23" spans="1:10" x14ac:dyDescent="0.3">
      <c r="A23" s="8"/>
      <c r="B23" s="22" t="s">
        <v>14</v>
      </c>
      <c r="C23" s="383" t="s">
        <v>322</v>
      </c>
      <c r="J23" s="9"/>
    </row>
    <row r="24" spans="1:10" x14ac:dyDescent="0.3">
      <c r="A24" s="8"/>
      <c r="B24" s="22" t="s">
        <v>15</v>
      </c>
      <c r="C24" s="383" t="s">
        <v>322</v>
      </c>
      <c r="J24" s="9"/>
    </row>
    <row r="25" spans="1:10" x14ac:dyDescent="0.3">
      <c r="A25" s="8"/>
      <c r="B25" s="19"/>
      <c r="J25" s="9"/>
    </row>
    <row r="26" spans="1:10" x14ac:dyDescent="0.3">
      <c r="A26" s="8"/>
      <c r="B26" s="579" t="s">
        <v>13</v>
      </c>
      <c r="C26" s="580" t="s">
        <v>322</v>
      </c>
      <c r="D26" s="580"/>
      <c r="E26" s="580"/>
      <c r="F26" s="580"/>
      <c r="G26" s="580"/>
      <c r="H26" s="580"/>
      <c r="I26" s="580"/>
      <c r="J26" s="9"/>
    </row>
    <row r="27" spans="1:10" x14ac:dyDescent="0.3">
      <c r="A27" s="8"/>
      <c r="B27" s="579"/>
      <c r="C27" s="580"/>
      <c r="D27" s="580"/>
      <c r="E27" s="580"/>
      <c r="F27" s="580"/>
      <c r="G27" s="580"/>
      <c r="H27" s="580"/>
      <c r="I27" s="580"/>
      <c r="J27" s="9"/>
    </row>
    <row r="28" spans="1:10" x14ac:dyDescent="0.3">
      <c r="A28" s="8"/>
      <c r="B28" s="16"/>
      <c r="C28" s="11"/>
      <c r="D28" s="11"/>
      <c r="E28" s="11"/>
      <c r="F28" s="11"/>
      <c r="G28" s="11"/>
      <c r="H28" s="11"/>
      <c r="I28" s="11"/>
      <c r="J28" s="9"/>
    </row>
    <row r="29" spans="1:10" x14ac:dyDescent="0.3">
      <c r="A29" s="8"/>
      <c r="B29" s="11"/>
      <c r="C29" s="11"/>
      <c r="D29" s="11"/>
      <c r="E29" s="11"/>
      <c r="F29" s="11"/>
      <c r="G29" s="11"/>
      <c r="H29" s="11"/>
      <c r="I29" s="11"/>
      <c r="J29" s="9"/>
    </row>
    <row r="30" spans="1:10" ht="15" customHeight="1" x14ac:dyDescent="0.3">
      <c r="A30" s="8"/>
      <c r="B30" s="577" t="s">
        <v>17</v>
      </c>
      <c r="C30" s="576" t="str" cm="1">
        <f t="array" aca="1" ref="C30" ca="1">LEFT(CELL("filename",$B$30),SEARCH(".xls",CELL("filename",$B$30))+5)</f>
        <v>\\newczfp02.dec.int\Group\COASTFLOODHUNT\FloodTeam\FDM2021\Guides\Management Measures\Damages Tool\[Flood Damage Estimated Tool - Draft under further development and testing.xlsx]</v>
      </c>
      <c r="D30" s="576"/>
      <c r="E30" s="576"/>
      <c r="F30" s="576"/>
      <c r="G30" s="576"/>
      <c r="H30" s="576"/>
      <c r="I30" s="576"/>
      <c r="J30" s="9"/>
    </row>
    <row r="31" spans="1:10" x14ac:dyDescent="0.3">
      <c r="A31" s="8"/>
      <c r="B31" s="577"/>
      <c r="C31" s="576"/>
      <c r="D31" s="576"/>
      <c r="E31" s="576"/>
      <c r="F31" s="576"/>
      <c r="G31" s="576"/>
      <c r="H31" s="576"/>
      <c r="I31" s="576"/>
      <c r="J31" s="9"/>
    </row>
    <row r="32" spans="1:10" x14ac:dyDescent="0.3">
      <c r="A32" s="8"/>
      <c r="B32" s="577"/>
      <c r="C32" s="576"/>
      <c r="D32" s="576"/>
      <c r="E32" s="576"/>
      <c r="F32" s="576"/>
      <c r="G32" s="576"/>
      <c r="H32" s="576"/>
      <c r="I32" s="576"/>
      <c r="J32" s="9"/>
    </row>
    <row r="33" spans="1:10" x14ac:dyDescent="0.3">
      <c r="A33" s="8"/>
      <c r="B33" s="16"/>
      <c r="C33" s="11"/>
      <c r="D33" s="11"/>
      <c r="E33" s="11"/>
      <c r="F33" s="11"/>
      <c r="G33" s="11"/>
      <c r="H33" s="11"/>
      <c r="I33" s="11"/>
      <c r="J33" s="9"/>
    </row>
    <row r="34" spans="1:10" x14ac:dyDescent="0.3">
      <c r="A34" s="8"/>
      <c r="B34" s="21" t="s">
        <v>16</v>
      </c>
      <c r="C34" s="448" t="s">
        <v>315</v>
      </c>
      <c r="D34" s="20"/>
      <c r="E34" s="20"/>
      <c r="F34" s="20"/>
      <c r="G34" s="20"/>
      <c r="H34" s="20"/>
      <c r="I34" s="20"/>
      <c r="J34" s="9"/>
    </row>
    <row r="35" spans="1:10" x14ac:dyDescent="0.3">
      <c r="A35" s="8"/>
      <c r="B35" s="16"/>
      <c r="C35" s="11"/>
      <c r="D35" s="11"/>
      <c r="E35" s="11"/>
      <c r="F35" s="11"/>
      <c r="G35" s="11"/>
      <c r="H35" s="11"/>
      <c r="I35" s="11"/>
      <c r="J35" s="9"/>
    </row>
    <row r="36" spans="1:10" x14ac:dyDescent="0.3">
      <c r="A36" s="8"/>
      <c r="B36" s="16"/>
      <c r="C36" s="11"/>
      <c r="D36" s="11"/>
      <c r="E36" s="11"/>
      <c r="F36" s="11"/>
      <c r="G36" s="11"/>
      <c r="H36" s="11"/>
      <c r="I36" s="11"/>
      <c r="J36" s="9"/>
    </row>
    <row r="37" spans="1:10" x14ac:dyDescent="0.3">
      <c r="A37" s="8"/>
      <c r="B37" s="17" t="s">
        <v>22</v>
      </c>
      <c r="C37" s="270">
        <v>2</v>
      </c>
      <c r="D37" s="11"/>
      <c r="E37" s="11"/>
      <c r="F37" s="11"/>
      <c r="G37" s="11"/>
      <c r="H37" s="11"/>
      <c r="I37" s="11"/>
      <c r="J37" s="9"/>
    </row>
    <row r="38" spans="1:10" x14ac:dyDescent="0.3">
      <c r="A38" s="8"/>
      <c r="B38" s="11"/>
      <c r="C38" s="11"/>
      <c r="D38" s="11"/>
      <c r="E38" s="11"/>
      <c r="F38" s="11"/>
      <c r="G38" s="11"/>
      <c r="H38" s="11"/>
      <c r="I38" s="11"/>
      <c r="J38" s="9"/>
    </row>
    <row r="39" spans="1:10" ht="15.6" x14ac:dyDescent="0.3">
      <c r="A39" s="8"/>
      <c r="B39" s="582" t="s">
        <v>18</v>
      </c>
      <c r="C39" s="582"/>
      <c r="D39" s="582"/>
      <c r="E39" s="582"/>
      <c r="F39" s="582"/>
      <c r="G39" s="582"/>
      <c r="H39" s="582"/>
      <c r="I39" s="582"/>
      <c r="J39" s="9"/>
    </row>
    <row r="40" spans="1:10" x14ac:dyDescent="0.3">
      <c r="A40" s="8"/>
      <c r="B40" s="23" t="s">
        <v>19</v>
      </c>
      <c r="C40" s="25" t="s">
        <v>179</v>
      </c>
      <c r="D40" s="25" t="s">
        <v>20</v>
      </c>
      <c r="E40" s="26" t="s">
        <v>21</v>
      </c>
      <c r="F40" s="573" t="s">
        <v>24</v>
      </c>
      <c r="G40" s="573"/>
      <c r="H40" s="573"/>
      <c r="I40" s="573"/>
      <c r="J40" s="9"/>
    </row>
    <row r="41" spans="1:10" x14ac:dyDescent="0.3">
      <c r="A41" s="8"/>
      <c r="B41" s="23">
        <v>0</v>
      </c>
      <c r="C41" s="449">
        <v>44168</v>
      </c>
      <c r="D41" s="450" t="s">
        <v>166</v>
      </c>
      <c r="E41" s="451" t="s">
        <v>167</v>
      </c>
      <c r="F41" s="583" t="s">
        <v>181</v>
      </c>
      <c r="G41" s="583"/>
      <c r="H41" s="583"/>
      <c r="I41" s="583"/>
      <c r="J41" s="9"/>
    </row>
    <row r="42" spans="1:10" x14ac:dyDescent="0.3">
      <c r="A42" s="8"/>
      <c r="B42" s="23">
        <v>1</v>
      </c>
      <c r="C42" s="449">
        <v>44365</v>
      </c>
      <c r="D42" s="450" t="s">
        <v>166</v>
      </c>
      <c r="E42" s="451" t="s">
        <v>293</v>
      </c>
      <c r="F42" s="583" t="s">
        <v>219</v>
      </c>
      <c r="G42" s="583"/>
      <c r="H42" s="583"/>
      <c r="I42" s="583"/>
      <c r="J42" s="9"/>
    </row>
    <row r="43" spans="1:10" x14ac:dyDescent="0.3">
      <c r="A43" s="8"/>
      <c r="B43" s="23">
        <v>2</v>
      </c>
      <c r="C43" s="449">
        <v>44435</v>
      </c>
      <c r="D43" s="450" t="s">
        <v>166</v>
      </c>
      <c r="E43" s="450"/>
      <c r="F43" s="583" t="s">
        <v>314</v>
      </c>
      <c r="G43" s="583"/>
      <c r="H43" s="583"/>
      <c r="I43" s="583"/>
      <c r="J43" s="9"/>
    </row>
    <row r="44" spans="1:10" x14ac:dyDescent="0.3">
      <c r="A44" s="8"/>
      <c r="B44" s="23" t="s">
        <v>23</v>
      </c>
      <c r="C44" s="218"/>
      <c r="D44" s="24"/>
      <c r="E44" s="24"/>
      <c r="F44" s="572"/>
      <c r="G44" s="572"/>
      <c r="H44" s="572"/>
      <c r="I44" s="572"/>
      <c r="J44" s="9"/>
    </row>
    <row r="45" spans="1:10" x14ac:dyDescent="0.3">
      <c r="A45" s="8"/>
      <c r="J45" s="9"/>
    </row>
    <row r="46" spans="1:10" x14ac:dyDescent="0.3">
      <c r="A46" s="8"/>
      <c r="B46" s="15"/>
      <c r="J46" s="9"/>
    </row>
    <row r="47" spans="1:10" x14ac:dyDescent="0.3">
      <c r="A47" s="8"/>
      <c r="B47" s="15"/>
      <c r="J47" s="9"/>
    </row>
    <row r="48" spans="1:10" x14ac:dyDescent="0.3">
      <c r="A48" s="8"/>
      <c r="B48" s="15"/>
      <c r="J48" s="9"/>
    </row>
    <row r="49" spans="1:10" x14ac:dyDescent="0.3">
      <c r="A49" s="8"/>
      <c r="B49" s="15"/>
      <c r="J49" s="9"/>
    </row>
    <row r="50" spans="1:10" x14ac:dyDescent="0.3">
      <c r="A50" s="8"/>
      <c r="B50" s="574" t="s">
        <v>99</v>
      </c>
      <c r="C50" s="575" t="s">
        <v>252</v>
      </c>
      <c r="D50" s="575"/>
      <c r="E50" s="575"/>
      <c r="F50" s="575"/>
      <c r="G50" s="575"/>
      <c r="H50" s="575"/>
      <c r="I50" s="575"/>
      <c r="J50" s="9"/>
    </row>
    <row r="51" spans="1:10" x14ac:dyDescent="0.3">
      <c r="A51" s="8"/>
      <c r="B51" s="574"/>
      <c r="C51" s="575"/>
      <c r="D51" s="575"/>
      <c r="E51" s="575"/>
      <c r="F51" s="575"/>
      <c r="G51" s="575"/>
      <c r="H51" s="575"/>
      <c r="I51" s="575"/>
      <c r="J51" s="9"/>
    </row>
    <row r="52" spans="1:10" x14ac:dyDescent="0.3">
      <c r="A52" s="8"/>
      <c r="B52" s="574"/>
      <c r="C52" s="575"/>
      <c r="D52" s="575"/>
      <c r="E52" s="575"/>
      <c r="F52" s="575"/>
      <c r="G52" s="575"/>
      <c r="H52" s="575"/>
      <c r="I52" s="575"/>
      <c r="J52" s="9"/>
    </row>
    <row r="53" spans="1:10" ht="15" thickBot="1" x14ac:dyDescent="0.35">
      <c r="A53" s="12"/>
      <c r="B53" s="18"/>
      <c r="C53" s="13"/>
      <c r="D53" s="13"/>
      <c r="E53" s="13"/>
      <c r="F53" s="13"/>
      <c r="G53" s="13"/>
      <c r="H53" s="13"/>
      <c r="I53" s="13"/>
      <c r="J53" s="14"/>
    </row>
  </sheetData>
  <mergeCells count="16">
    <mergeCell ref="F44:I44"/>
    <mergeCell ref="F40:I40"/>
    <mergeCell ref="B50:B52"/>
    <mergeCell ref="C50:I52"/>
    <mergeCell ref="B2:I2"/>
    <mergeCell ref="C30:I32"/>
    <mergeCell ref="B30:B32"/>
    <mergeCell ref="C17:I18"/>
    <mergeCell ref="B17:B18"/>
    <mergeCell ref="C26:I27"/>
    <mergeCell ref="B26:B27"/>
    <mergeCell ref="C21:D21"/>
    <mergeCell ref="B39:I39"/>
    <mergeCell ref="F41:I41"/>
    <mergeCell ref="F42:I42"/>
    <mergeCell ref="F43:I43"/>
  </mergeCells>
  <pageMargins left="0.25" right="0.25" top="0.75" bottom="0.75" header="0.3" footer="0.3"/>
  <pageSetup paperSize="9" scale="89" orientation="portrait" horizontalDpi="1200" verticalDpi="1200" r:id="rId1"/>
  <headerFooter>
    <oddFooter>&amp;L&amp;"-,Italic"&amp;9&amp;K07-047&amp;Z&amp;F
&amp;R&amp;"-,Italic"&amp;K03+000Page &amp;P of &amp;N</oddFooter>
  </headerFooter>
  <colBreaks count="1" manualBreakCount="1">
    <brk id="10"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3ACB6-22BA-4B9E-B425-3F9757049B4D}">
  <sheetPr codeName="Sheet4">
    <tabColor theme="8" tint="0.79998168889431442"/>
    <pageSetUpPr fitToPage="1"/>
  </sheetPr>
  <dimension ref="A1:Z55"/>
  <sheetViews>
    <sheetView zoomScale="85" zoomScaleNormal="85" workbookViewId="0">
      <selection activeCell="D38" sqref="D38"/>
    </sheetView>
  </sheetViews>
  <sheetFormatPr defaultRowHeight="14.4" x14ac:dyDescent="0.3"/>
  <cols>
    <col min="1" max="1" width="3" customWidth="1"/>
    <col min="2" max="2" width="9.21875" customWidth="1"/>
    <col min="3" max="5" width="9.21875" bestFit="1" customWidth="1"/>
    <col min="6" max="6" width="9.21875" customWidth="1"/>
    <col min="7" max="11" width="9.21875" bestFit="1" customWidth="1"/>
    <col min="12" max="12" width="3" customWidth="1"/>
    <col min="13" max="13" width="3" style="11" customWidth="1"/>
    <col min="14" max="14" width="3" customWidth="1"/>
    <col min="15" max="15" width="9.21875" customWidth="1"/>
    <col min="16" max="18" width="9.21875" bestFit="1" customWidth="1"/>
    <col min="19" max="19" width="9.21875" customWidth="1"/>
    <col min="20" max="24" width="9.21875" bestFit="1" customWidth="1"/>
    <col min="25" max="26" width="3" customWidth="1"/>
  </cols>
  <sheetData>
    <row r="1" spans="1:26" ht="15" thickBot="1" x14ac:dyDescent="0.35">
      <c r="A1" s="5"/>
      <c r="B1" s="6"/>
      <c r="C1" s="6"/>
      <c r="D1" s="6"/>
      <c r="E1" s="6"/>
      <c r="F1" s="6"/>
      <c r="G1" s="6"/>
      <c r="H1" s="6"/>
      <c r="I1" s="6"/>
      <c r="J1" s="6"/>
      <c r="K1" s="6"/>
      <c r="L1" s="7"/>
      <c r="N1" s="5"/>
      <c r="O1" s="6"/>
      <c r="P1" s="6"/>
      <c r="Q1" s="6"/>
      <c r="R1" s="6"/>
      <c r="S1" s="6"/>
      <c r="T1" s="6"/>
      <c r="U1" s="6"/>
      <c r="V1" s="6"/>
      <c r="W1" s="6"/>
      <c r="X1" s="6"/>
      <c r="Y1" s="7"/>
      <c r="Z1" s="52"/>
    </row>
    <row r="2" spans="1:26" ht="24" thickBot="1" x14ac:dyDescent="0.5">
      <c r="A2" s="8"/>
      <c r="B2" s="553" t="s">
        <v>240</v>
      </c>
      <c r="C2" s="554"/>
      <c r="D2" s="554"/>
      <c r="E2" s="554"/>
      <c r="F2" s="554"/>
      <c r="G2" s="554"/>
      <c r="H2" s="554"/>
      <c r="I2" s="554"/>
      <c r="J2" s="554"/>
      <c r="K2" s="555"/>
      <c r="L2" s="9"/>
      <c r="N2" s="8"/>
      <c r="O2" s="553" t="s">
        <v>241</v>
      </c>
      <c r="P2" s="554"/>
      <c r="Q2" s="554"/>
      <c r="R2" s="554"/>
      <c r="S2" s="554"/>
      <c r="T2" s="554"/>
      <c r="U2" s="554"/>
      <c r="V2" s="554"/>
      <c r="W2" s="554"/>
      <c r="X2" s="555"/>
      <c r="Y2" s="9"/>
    </row>
    <row r="3" spans="1:26" s="160" customFormat="1" x14ac:dyDescent="0.3">
      <c r="A3" s="156"/>
      <c r="B3" s="157" t="s">
        <v>255</v>
      </c>
      <c r="C3" s="158"/>
      <c r="D3" s="158"/>
      <c r="E3" s="158"/>
      <c r="F3" s="158"/>
      <c r="G3" s="158"/>
      <c r="H3" s="158"/>
      <c r="I3" s="158"/>
      <c r="J3" s="158"/>
      <c r="K3" s="158"/>
      <c r="L3" s="159"/>
      <c r="M3" s="158"/>
      <c r="N3" s="156"/>
      <c r="O3" s="157" t="s">
        <v>254</v>
      </c>
      <c r="P3" s="158"/>
      <c r="Q3" s="158"/>
      <c r="R3" s="158"/>
      <c r="S3" s="158"/>
      <c r="T3" s="158"/>
      <c r="U3" s="158"/>
      <c r="V3" s="158"/>
      <c r="W3" s="158"/>
      <c r="X3" s="158"/>
      <c r="Y3" s="159"/>
    </row>
    <row r="4" spans="1:26" x14ac:dyDescent="0.3">
      <c r="A4" s="8"/>
      <c r="B4" s="589" t="s">
        <v>428</v>
      </c>
      <c r="C4" s="589"/>
      <c r="D4" s="589"/>
      <c r="E4" s="589"/>
      <c r="F4" s="589"/>
      <c r="G4" s="589"/>
      <c r="H4" s="589"/>
      <c r="I4" s="589"/>
      <c r="J4" s="589"/>
      <c r="K4" s="11"/>
      <c r="L4" s="9"/>
      <c r="N4" s="8"/>
      <c r="O4" s="589" t="s">
        <v>429</v>
      </c>
      <c r="P4" s="589"/>
      <c r="Q4" s="589"/>
      <c r="R4" s="589"/>
      <c r="S4" s="589"/>
      <c r="T4" s="589"/>
      <c r="U4" s="589"/>
      <c r="V4" s="589"/>
      <c r="W4" s="589"/>
      <c r="X4" s="11"/>
      <c r="Y4" s="9"/>
    </row>
    <row r="5" spans="1:26" ht="15" thickBot="1" x14ac:dyDescent="0.35">
      <c r="A5" s="8"/>
      <c r="B5" s="11"/>
      <c r="C5" s="11"/>
      <c r="D5" s="11"/>
      <c r="E5" s="11"/>
      <c r="F5" s="11"/>
      <c r="G5" s="11"/>
      <c r="H5" s="11"/>
      <c r="I5" s="11"/>
      <c r="J5" s="11"/>
      <c r="K5" s="11"/>
      <c r="L5" s="9"/>
      <c r="N5" s="8"/>
      <c r="O5" s="11"/>
      <c r="P5" s="11"/>
      <c r="Q5" s="11"/>
      <c r="R5" s="11"/>
      <c r="S5" s="11"/>
      <c r="T5" s="11"/>
      <c r="U5" s="11"/>
      <c r="V5" s="11"/>
      <c r="W5" s="11"/>
      <c r="X5" s="11"/>
      <c r="Y5" s="9"/>
    </row>
    <row r="6" spans="1:26" ht="29.4" thickBot="1" x14ac:dyDescent="0.35">
      <c r="A6" s="8"/>
      <c r="B6" s="11"/>
      <c r="C6" s="11"/>
      <c r="D6" s="11"/>
      <c r="E6" s="413" t="s">
        <v>33</v>
      </c>
      <c r="F6" s="415" t="s">
        <v>245</v>
      </c>
      <c r="G6" s="414" t="s">
        <v>242</v>
      </c>
      <c r="H6" s="11"/>
      <c r="I6" s="37" t="s">
        <v>35</v>
      </c>
      <c r="J6" s="11"/>
      <c r="K6" s="11"/>
      <c r="L6" s="9"/>
      <c r="N6" s="8"/>
      <c r="O6" s="11"/>
      <c r="P6" s="11"/>
      <c r="Q6" s="11"/>
      <c r="R6" s="413" t="s">
        <v>33</v>
      </c>
      <c r="S6" s="415" t="s">
        <v>37</v>
      </c>
      <c r="T6" s="414" t="s">
        <v>34</v>
      </c>
      <c r="U6" s="11"/>
      <c r="V6" s="37" t="s">
        <v>35</v>
      </c>
      <c r="W6" s="11"/>
      <c r="X6" s="11"/>
      <c r="Y6" s="9"/>
    </row>
    <row r="7" spans="1:26" x14ac:dyDescent="0.3">
      <c r="A7" s="8"/>
      <c r="B7" s="579" t="s">
        <v>243</v>
      </c>
      <c r="C7" s="579"/>
      <c r="D7" s="579"/>
      <c r="E7" s="276">
        <v>2019</v>
      </c>
      <c r="F7" s="416">
        <v>2</v>
      </c>
      <c r="G7" s="278" cm="1">
        <f t="array" ref="G7">_xlfn.IFNA(INDEX(A9:K20,MATCH(_xlfn.NUMBERVALUE(RIGHT(E7)),A9:A20,0),1+MATCH(ROUNDDOWN(E7,-1),A9:K9,0)),VLOOKUP(E7,A28:C48,3,TRUE))</f>
        <v>1658.4</v>
      </c>
      <c r="H7" s="11"/>
      <c r="I7" s="586">
        <f>(G8-G7)/G7</f>
        <v>3.2079112397491449E-2</v>
      </c>
      <c r="J7" s="11"/>
      <c r="K7" s="11"/>
      <c r="L7" s="9"/>
      <c r="N7" s="8"/>
      <c r="O7" s="579" t="s">
        <v>52</v>
      </c>
      <c r="P7" s="579"/>
      <c r="Q7" s="579"/>
      <c r="R7" s="276">
        <f t="shared" ref="R7" si="0">E7</f>
        <v>2019</v>
      </c>
      <c r="S7" s="416">
        <v>4</v>
      </c>
      <c r="T7" s="278" cm="1">
        <f t="array" ref="T7">_xlfn.IFNA(INDEX(N9:X20,MATCH(_xlfn.NUMBERVALUE(RIGHT(R7)),N9:N20,0),1+MATCH(ROUNDDOWN(R7,-1),N9:X9,0)),VLOOKUP(R7,N28:P48,3,TRUE))</f>
        <v>117.1</v>
      </c>
      <c r="U7" s="11"/>
      <c r="V7" s="586">
        <f>(T8-T7)/T7</f>
        <v>7.6857386848847627E-3</v>
      </c>
      <c r="W7" s="11"/>
      <c r="X7" s="11"/>
      <c r="Y7" s="9"/>
    </row>
    <row r="8" spans="1:26" ht="15" thickBot="1" x14ac:dyDescent="0.35">
      <c r="A8" s="8"/>
      <c r="B8" s="579" t="s">
        <v>220</v>
      </c>
      <c r="C8" s="579"/>
      <c r="D8" s="579"/>
      <c r="E8" s="475">
        <v>2020</v>
      </c>
      <c r="F8" s="417">
        <f>IF(S8&gt;2,2,1)</f>
        <v>2</v>
      </c>
      <c r="G8" s="279" cm="1">
        <f t="array" ref="G8">_xlfn.IFNA(_xlfn.IFNA(INDEX(A9:K20,MATCH(_xlfn.NUMBERVALUE(RIGHT(E8)),A9:A20,0),1+MATCH(ROUNDDOWN(E8,-1),A9:K9,0)),INDEX(D26:G28,MATCH(F8,D26:D28,0),MATCH(E8,D26:G26,0))),VLOOKUP(E8,A27:C48,3,FALSE))</f>
        <v>1711.6</v>
      </c>
      <c r="H8" s="11"/>
      <c r="I8" s="587"/>
      <c r="J8" s="11"/>
      <c r="K8" s="11"/>
      <c r="L8" s="9"/>
      <c r="N8" s="8"/>
      <c r="O8" s="579" t="s">
        <v>220</v>
      </c>
      <c r="P8" s="579"/>
      <c r="Q8" s="579"/>
      <c r="R8" s="277">
        <f>E8</f>
        <v>2020</v>
      </c>
      <c r="S8" s="476">
        <v>4</v>
      </c>
      <c r="T8" s="279" cm="1">
        <f t="array" ref="T8">_xlfn.IFNA(_xlfn.IFNA(INDEX(N9:X20,MATCH(_xlfn.NUMBERVALUE(RIGHT(R8)),N9:N20,0),1+MATCH(ROUNDDOWN(R8,-1),N9:X9,0)),INDEX(Q26:T31,MATCH(S8,Q26:Q31,0),MATCH(R8,Q26:T26,0))),VLOOKUP(R8,N27:P48,3,FALSE))</f>
        <v>118</v>
      </c>
      <c r="U8" s="11"/>
      <c r="V8" s="587"/>
      <c r="W8" s="11"/>
      <c r="X8" s="11"/>
      <c r="Y8" s="9"/>
    </row>
    <row r="9" spans="1:26" x14ac:dyDescent="0.3">
      <c r="A9" s="40"/>
      <c r="B9" s="41">
        <v>2010</v>
      </c>
      <c r="C9" s="41"/>
      <c r="D9" s="41">
        <v>2000</v>
      </c>
      <c r="E9" s="41"/>
      <c r="F9" s="41">
        <v>1990</v>
      </c>
      <c r="G9" s="41"/>
      <c r="H9" s="41">
        <v>1980</v>
      </c>
      <c r="I9" s="41"/>
      <c r="J9" s="41">
        <v>1970</v>
      </c>
      <c r="K9" s="41"/>
      <c r="L9" s="9"/>
      <c r="N9" s="40"/>
      <c r="O9" s="41">
        <v>2010</v>
      </c>
      <c r="P9" s="41"/>
      <c r="Q9" s="41">
        <v>2000</v>
      </c>
      <c r="R9" s="41"/>
      <c r="S9" s="41">
        <v>1990</v>
      </c>
      <c r="T9" s="41"/>
      <c r="U9" s="41">
        <v>1980</v>
      </c>
      <c r="V9" s="41"/>
      <c r="W9" s="41">
        <v>1970</v>
      </c>
      <c r="X9" s="41"/>
      <c r="Y9" s="9"/>
    </row>
    <row r="10" spans="1:26" x14ac:dyDescent="0.3">
      <c r="A10" s="40"/>
      <c r="B10" s="588" t="s">
        <v>253</v>
      </c>
      <c r="C10" s="588"/>
      <c r="D10" s="588"/>
      <c r="E10" s="588"/>
      <c r="F10" s="588"/>
      <c r="G10" s="588"/>
      <c r="H10" s="588"/>
      <c r="I10" s="588"/>
      <c r="J10" s="588"/>
      <c r="K10" s="588"/>
      <c r="L10" s="9"/>
      <c r="N10" s="40"/>
      <c r="O10" s="588" t="s">
        <v>32</v>
      </c>
      <c r="P10" s="588"/>
      <c r="Q10" s="588"/>
      <c r="R10" s="588"/>
      <c r="S10" s="588"/>
      <c r="T10" s="588"/>
      <c r="U10" s="588"/>
      <c r="V10" s="588"/>
      <c r="W10" s="588"/>
      <c r="X10" s="588"/>
      <c r="Y10" s="9"/>
    </row>
    <row r="11" spans="1:26" x14ac:dyDescent="0.3">
      <c r="A11" s="40">
        <v>9</v>
      </c>
      <c r="B11" s="316">
        <f t="shared" ref="B11:B20" si="1">O11</f>
        <v>43800</v>
      </c>
      <c r="C11" s="317">
        <v>1658.4</v>
      </c>
      <c r="D11" s="316">
        <f t="shared" ref="D11:D20" si="2">Q11</f>
        <v>40148</v>
      </c>
      <c r="E11" s="317">
        <v>1226.8</v>
      </c>
      <c r="F11" s="316">
        <f t="shared" ref="F11:F20" si="3">S11</f>
        <v>36495</v>
      </c>
      <c r="G11" s="317">
        <v>760.8</v>
      </c>
      <c r="H11" s="316">
        <f t="shared" ref="H11:H20" si="4">U11</f>
        <v>32843</v>
      </c>
      <c r="I11" s="318">
        <f>G20*V11/T20</f>
        <v>559.41570512820499</v>
      </c>
      <c r="J11" s="316">
        <f t="shared" ref="J11:J20" si="5">W11</f>
        <v>29190</v>
      </c>
      <c r="K11" s="318">
        <f>I20*X11/V20</f>
        <v>249.41458333333333</v>
      </c>
      <c r="L11" s="9"/>
      <c r="N11" s="40">
        <v>9</v>
      </c>
      <c r="O11" s="316">
        <v>43800</v>
      </c>
      <c r="P11" s="317">
        <v>117.1</v>
      </c>
      <c r="Q11" s="316">
        <v>40148</v>
      </c>
      <c r="R11" s="317">
        <v>94.4</v>
      </c>
      <c r="S11" s="316">
        <v>36495</v>
      </c>
      <c r="T11" s="317">
        <v>69.7</v>
      </c>
      <c r="U11" s="316">
        <v>32843</v>
      </c>
      <c r="V11" s="317">
        <v>55.4</v>
      </c>
      <c r="W11" s="316">
        <v>29190</v>
      </c>
      <c r="X11" s="317">
        <v>24.7</v>
      </c>
      <c r="Y11" s="9"/>
    </row>
    <row r="12" spans="1:26" x14ac:dyDescent="0.3">
      <c r="A12" s="40">
        <v>8</v>
      </c>
      <c r="B12" s="316">
        <f t="shared" si="1"/>
        <v>43435</v>
      </c>
      <c r="C12" s="317">
        <v>1605.5</v>
      </c>
      <c r="D12" s="316">
        <f t="shared" si="2"/>
        <v>39783</v>
      </c>
      <c r="E12" s="317">
        <v>1158</v>
      </c>
      <c r="F12" s="316">
        <f t="shared" si="3"/>
        <v>36130</v>
      </c>
      <c r="G12" s="317">
        <v>739.5</v>
      </c>
      <c r="H12" s="316">
        <f t="shared" si="4"/>
        <v>32478</v>
      </c>
      <c r="I12" s="318">
        <f t="shared" ref="I12:I20" si="6">I11*V12/V11</f>
        <v>521.04423076923069</v>
      </c>
      <c r="J12" s="316">
        <f t="shared" si="5"/>
        <v>28825</v>
      </c>
      <c r="K12" s="318">
        <f t="shared" ref="K12:K20" si="7">K11*X12/X11</f>
        <v>226.18974358974359</v>
      </c>
      <c r="L12" s="9"/>
      <c r="N12" s="40">
        <v>8</v>
      </c>
      <c r="O12" s="316">
        <v>43435</v>
      </c>
      <c r="P12" s="317">
        <v>115.2</v>
      </c>
      <c r="Q12" s="316">
        <v>39783</v>
      </c>
      <c r="R12" s="317">
        <v>92.4</v>
      </c>
      <c r="S12" s="316">
        <v>36130</v>
      </c>
      <c r="T12" s="317">
        <v>68.400000000000006</v>
      </c>
      <c r="U12" s="316">
        <v>32478</v>
      </c>
      <c r="V12" s="317">
        <v>51.6</v>
      </c>
      <c r="W12" s="316">
        <v>28825</v>
      </c>
      <c r="X12" s="317">
        <v>22.4</v>
      </c>
      <c r="Y12" s="9"/>
    </row>
    <row r="13" spans="1:26" x14ac:dyDescent="0.3">
      <c r="A13" s="40">
        <v>7</v>
      </c>
      <c r="B13" s="316">
        <f t="shared" si="1"/>
        <v>43070</v>
      </c>
      <c r="C13" s="317">
        <v>1569.6</v>
      </c>
      <c r="D13" s="316">
        <f t="shared" si="2"/>
        <v>39417</v>
      </c>
      <c r="E13" s="317">
        <v>1098.5999999999999</v>
      </c>
      <c r="F13" s="316">
        <f t="shared" si="3"/>
        <v>35765</v>
      </c>
      <c r="G13" s="317">
        <v>710.6</v>
      </c>
      <c r="H13" s="316">
        <f t="shared" si="4"/>
        <v>32112</v>
      </c>
      <c r="I13" s="318">
        <f t="shared" si="6"/>
        <v>476.61410256410255</v>
      </c>
      <c r="J13" s="316">
        <f t="shared" si="5"/>
        <v>28460</v>
      </c>
      <c r="K13" s="318">
        <f t="shared" si="7"/>
        <v>209.02355769230769</v>
      </c>
      <c r="L13" s="9"/>
      <c r="N13" s="40">
        <v>7</v>
      </c>
      <c r="O13" s="316">
        <v>43070</v>
      </c>
      <c r="P13" s="317">
        <v>113.3</v>
      </c>
      <c r="Q13" s="316">
        <v>39417</v>
      </c>
      <c r="R13" s="317">
        <v>89.1</v>
      </c>
      <c r="S13" s="316">
        <v>35765</v>
      </c>
      <c r="T13" s="317">
        <v>67.099999999999994</v>
      </c>
      <c r="U13" s="316">
        <v>32112</v>
      </c>
      <c r="V13" s="317">
        <v>47.2</v>
      </c>
      <c r="W13" s="316">
        <v>28460</v>
      </c>
      <c r="X13" s="317">
        <v>20.7</v>
      </c>
      <c r="Y13" s="9"/>
    </row>
    <row r="14" spans="1:26" x14ac:dyDescent="0.3">
      <c r="A14" s="40">
        <v>6</v>
      </c>
      <c r="B14" s="316">
        <f t="shared" si="1"/>
        <v>42705</v>
      </c>
      <c r="C14" s="317">
        <v>1533.4</v>
      </c>
      <c r="D14" s="316">
        <f t="shared" si="2"/>
        <v>39052</v>
      </c>
      <c r="E14" s="317">
        <v>1044.0999999999999</v>
      </c>
      <c r="F14" s="316">
        <f t="shared" si="3"/>
        <v>35400</v>
      </c>
      <c r="G14" s="317">
        <v>686.1</v>
      </c>
      <c r="H14" s="316">
        <f t="shared" si="4"/>
        <v>31747</v>
      </c>
      <c r="I14" s="318">
        <f t="shared" si="6"/>
        <v>445.31105769230766</v>
      </c>
      <c r="J14" s="316">
        <f t="shared" si="5"/>
        <v>28095</v>
      </c>
      <c r="K14" s="318">
        <f t="shared" si="7"/>
        <v>192.86714743589746</v>
      </c>
      <c r="L14" s="9"/>
      <c r="N14" s="40">
        <v>6</v>
      </c>
      <c r="O14" s="316">
        <v>42705</v>
      </c>
      <c r="P14" s="317">
        <v>110.9</v>
      </c>
      <c r="Q14" s="316">
        <v>39052</v>
      </c>
      <c r="R14" s="317">
        <v>87</v>
      </c>
      <c r="S14" s="316">
        <v>35400</v>
      </c>
      <c r="T14" s="317">
        <v>67.2</v>
      </c>
      <c r="U14" s="316">
        <v>31747</v>
      </c>
      <c r="V14" s="317">
        <v>44.1</v>
      </c>
      <c r="W14" s="316">
        <v>28095</v>
      </c>
      <c r="X14" s="317">
        <v>19.100000000000001</v>
      </c>
      <c r="Y14" s="9"/>
    </row>
    <row r="15" spans="1:26" x14ac:dyDescent="0.3">
      <c r="A15" s="40">
        <v>5</v>
      </c>
      <c r="B15" s="316">
        <f t="shared" si="1"/>
        <v>42339</v>
      </c>
      <c r="C15" s="317">
        <v>1500.5</v>
      </c>
      <c r="D15" s="316">
        <f t="shared" si="2"/>
        <v>38687</v>
      </c>
      <c r="E15" s="317">
        <v>1011.8</v>
      </c>
      <c r="F15" s="316">
        <f t="shared" si="3"/>
        <v>35034</v>
      </c>
      <c r="G15" s="317">
        <v>661.2</v>
      </c>
      <c r="H15" s="316">
        <f t="shared" si="4"/>
        <v>31382</v>
      </c>
      <c r="I15" s="318">
        <f t="shared" si="6"/>
        <v>405.92980769230769</v>
      </c>
      <c r="J15" s="316">
        <f t="shared" si="5"/>
        <v>27729</v>
      </c>
      <c r="K15" s="318">
        <f t="shared" si="7"/>
        <v>170.65208333333334</v>
      </c>
      <c r="L15" s="9"/>
      <c r="N15" s="40">
        <v>5</v>
      </c>
      <c r="O15" s="316">
        <v>42339</v>
      </c>
      <c r="P15" s="317">
        <v>108.9</v>
      </c>
      <c r="Q15" s="316">
        <v>38687</v>
      </c>
      <c r="R15" s="317">
        <v>84.3</v>
      </c>
      <c r="S15" s="316">
        <v>35034</v>
      </c>
      <c r="T15" s="317">
        <v>66.099999999999994</v>
      </c>
      <c r="U15" s="316">
        <v>31382</v>
      </c>
      <c r="V15" s="317">
        <v>40.200000000000003</v>
      </c>
      <c r="W15" s="316">
        <v>27729</v>
      </c>
      <c r="X15" s="317">
        <v>16.899999999999999</v>
      </c>
      <c r="Y15" s="9"/>
    </row>
    <row r="16" spans="1:26" x14ac:dyDescent="0.3">
      <c r="A16" s="40">
        <v>4</v>
      </c>
      <c r="B16" s="316">
        <f t="shared" si="1"/>
        <v>41974</v>
      </c>
      <c r="C16" s="317">
        <v>1477</v>
      </c>
      <c r="D16" s="316">
        <f t="shared" si="2"/>
        <v>38322</v>
      </c>
      <c r="E16" s="317">
        <v>965</v>
      </c>
      <c r="F16" s="316">
        <f t="shared" si="3"/>
        <v>34669</v>
      </c>
      <c r="G16" s="317">
        <v>630.1</v>
      </c>
      <c r="H16" s="316">
        <f t="shared" si="4"/>
        <v>31017</v>
      </c>
      <c r="I16" s="318">
        <f t="shared" si="6"/>
        <v>374.62676282051279</v>
      </c>
      <c r="J16" s="316">
        <f t="shared" si="5"/>
        <v>27364</v>
      </c>
      <c r="K16" s="318">
        <f t="shared" si="7"/>
        <v>150.45657051282052</v>
      </c>
      <c r="L16" s="9"/>
      <c r="N16" s="40">
        <v>4</v>
      </c>
      <c r="O16" s="316">
        <v>41974</v>
      </c>
      <c r="P16" s="317">
        <v>106.8</v>
      </c>
      <c r="Q16" s="316">
        <v>38322</v>
      </c>
      <c r="R16" s="317">
        <v>82.3</v>
      </c>
      <c r="S16" s="316">
        <v>34669</v>
      </c>
      <c r="T16" s="317">
        <v>62.4</v>
      </c>
      <c r="U16" s="316">
        <v>31017</v>
      </c>
      <c r="V16" s="317">
        <v>37.1</v>
      </c>
      <c r="W16" s="316">
        <v>27364</v>
      </c>
      <c r="X16" s="317">
        <v>14.9</v>
      </c>
      <c r="Y16" s="9"/>
    </row>
    <row r="17" spans="1:26" x14ac:dyDescent="0.3">
      <c r="A17" s="40">
        <v>3</v>
      </c>
      <c r="B17" s="316">
        <f t="shared" si="1"/>
        <v>41609</v>
      </c>
      <c r="C17" s="317">
        <v>1437</v>
      </c>
      <c r="D17" s="316">
        <f t="shared" si="2"/>
        <v>37956</v>
      </c>
      <c r="E17" s="317">
        <v>929.1</v>
      </c>
      <c r="F17" s="316">
        <f t="shared" si="3"/>
        <v>34304</v>
      </c>
      <c r="G17" s="318">
        <f>G16*T17/T16</f>
        <v>613.94358974358977</v>
      </c>
      <c r="H17" s="316">
        <f t="shared" si="4"/>
        <v>30651</v>
      </c>
      <c r="I17" s="318">
        <f t="shared" si="6"/>
        <v>365.53878205128206</v>
      </c>
      <c r="J17" s="316">
        <f t="shared" si="5"/>
        <v>26999</v>
      </c>
      <c r="K17" s="318">
        <f t="shared" si="7"/>
        <v>129.25128205128206</v>
      </c>
      <c r="L17" s="9"/>
      <c r="N17" s="40">
        <v>3</v>
      </c>
      <c r="O17" s="316">
        <v>41609</v>
      </c>
      <c r="P17" s="317">
        <v>105</v>
      </c>
      <c r="Q17" s="316">
        <v>37956</v>
      </c>
      <c r="R17" s="317">
        <v>80.2</v>
      </c>
      <c r="S17" s="316">
        <v>34304</v>
      </c>
      <c r="T17" s="317">
        <v>60.8</v>
      </c>
      <c r="U17" s="316">
        <v>30651</v>
      </c>
      <c r="V17" s="317">
        <v>36.200000000000003</v>
      </c>
      <c r="W17" s="316">
        <v>26999</v>
      </c>
      <c r="X17" s="317">
        <v>12.8</v>
      </c>
      <c r="Y17" s="9"/>
    </row>
    <row r="18" spans="1:26" x14ac:dyDescent="0.3">
      <c r="A18" s="40">
        <v>2</v>
      </c>
      <c r="B18" s="316">
        <f t="shared" si="1"/>
        <v>41244</v>
      </c>
      <c r="C18" s="317">
        <v>1396</v>
      </c>
      <c r="D18" s="316">
        <f t="shared" si="2"/>
        <v>37591</v>
      </c>
      <c r="E18" s="317">
        <v>882.1</v>
      </c>
      <c r="F18" s="316">
        <f t="shared" si="3"/>
        <v>33939</v>
      </c>
      <c r="G18" s="318">
        <f>G17*T18/T17</f>
        <v>605.86538461538464</v>
      </c>
      <c r="H18" s="316">
        <f t="shared" si="4"/>
        <v>30286</v>
      </c>
      <c r="I18" s="318">
        <f t="shared" si="6"/>
        <v>340.29439102564106</v>
      </c>
      <c r="J18" s="316">
        <f t="shared" si="5"/>
        <v>26634</v>
      </c>
      <c r="K18" s="318">
        <f t="shared" si="7"/>
        <v>114.10464743589745</v>
      </c>
      <c r="L18" s="9"/>
      <c r="N18" s="40">
        <v>2</v>
      </c>
      <c r="O18" s="316">
        <v>41244</v>
      </c>
      <c r="P18" s="317">
        <v>102.3</v>
      </c>
      <c r="Q18" s="316">
        <v>37591</v>
      </c>
      <c r="R18" s="317">
        <v>78.400000000000006</v>
      </c>
      <c r="S18" s="316">
        <v>33939</v>
      </c>
      <c r="T18" s="317">
        <v>60</v>
      </c>
      <c r="U18" s="316">
        <v>30286</v>
      </c>
      <c r="V18" s="317">
        <v>33.700000000000003</v>
      </c>
      <c r="W18" s="316">
        <v>26634</v>
      </c>
      <c r="X18" s="317">
        <v>11.3</v>
      </c>
      <c r="Y18" s="9"/>
    </row>
    <row r="19" spans="1:26" x14ac:dyDescent="0.3">
      <c r="A19" s="40">
        <v>1</v>
      </c>
      <c r="B19" s="316">
        <f t="shared" si="1"/>
        <v>40878</v>
      </c>
      <c r="C19" s="317">
        <v>1330.1</v>
      </c>
      <c r="D19" s="316">
        <f t="shared" si="2"/>
        <v>37226</v>
      </c>
      <c r="E19" s="317">
        <v>842.6</v>
      </c>
      <c r="F19" s="316">
        <f t="shared" si="3"/>
        <v>33573</v>
      </c>
      <c r="G19" s="318">
        <f>G18*T19/T18</f>
        <v>603.8458333333333</v>
      </c>
      <c r="H19" s="316">
        <f t="shared" si="4"/>
        <v>29921</v>
      </c>
      <c r="I19" s="318">
        <f t="shared" si="6"/>
        <v>303.94246794871793</v>
      </c>
      <c r="J19" s="316">
        <f t="shared" si="5"/>
        <v>26268</v>
      </c>
      <c r="K19" s="318">
        <f t="shared" si="7"/>
        <v>109.05576923076923</v>
      </c>
      <c r="L19" s="9"/>
      <c r="N19" s="40">
        <v>1</v>
      </c>
      <c r="O19" s="316">
        <v>40878</v>
      </c>
      <c r="P19" s="317">
        <v>99.8</v>
      </c>
      <c r="Q19" s="316">
        <v>37226</v>
      </c>
      <c r="R19" s="317">
        <v>76.3</v>
      </c>
      <c r="S19" s="316">
        <v>33573</v>
      </c>
      <c r="T19" s="317">
        <v>59.8</v>
      </c>
      <c r="U19" s="316">
        <v>29921</v>
      </c>
      <c r="V19" s="317">
        <v>30.1</v>
      </c>
      <c r="W19" s="316">
        <v>26268</v>
      </c>
      <c r="X19" s="317">
        <v>10.8</v>
      </c>
      <c r="Y19" s="9"/>
    </row>
    <row r="20" spans="1:26" x14ac:dyDescent="0.3">
      <c r="A20" s="40">
        <v>0</v>
      </c>
      <c r="B20" s="316">
        <f t="shared" si="1"/>
        <v>40513</v>
      </c>
      <c r="C20" s="317">
        <v>1275.2</v>
      </c>
      <c r="D20" s="316">
        <f t="shared" si="2"/>
        <v>36861</v>
      </c>
      <c r="E20" s="317">
        <v>798.1</v>
      </c>
      <c r="F20" s="316">
        <f t="shared" si="3"/>
        <v>33208</v>
      </c>
      <c r="G20" s="318">
        <f>G19*T20/T19</f>
        <v>594.75785256410245</v>
      </c>
      <c r="H20" s="316">
        <f t="shared" si="4"/>
        <v>29556</v>
      </c>
      <c r="I20" s="318">
        <f t="shared" si="6"/>
        <v>273.64919871794871</v>
      </c>
      <c r="J20" s="316">
        <f t="shared" si="5"/>
        <v>25903</v>
      </c>
      <c r="K20" s="318">
        <f t="shared" si="7"/>
        <v>99.967788461538461</v>
      </c>
      <c r="L20" s="9"/>
      <c r="N20" s="40">
        <v>0</v>
      </c>
      <c r="O20" s="316">
        <v>40513</v>
      </c>
      <c r="P20" s="317">
        <v>96.7</v>
      </c>
      <c r="Q20" s="316">
        <v>36861</v>
      </c>
      <c r="R20" s="317">
        <v>73.8</v>
      </c>
      <c r="S20" s="316">
        <v>33208</v>
      </c>
      <c r="T20" s="317">
        <v>58.9</v>
      </c>
      <c r="U20" s="316">
        <v>29556</v>
      </c>
      <c r="V20" s="317">
        <v>27.1</v>
      </c>
      <c r="W20" s="316">
        <v>25903</v>
      </c>
      <c r="X20" s="317">
        <v>9.9</v>
      </c>
      <c r="Y20" s="9"/>
    </row>
    <row r="21" spans="1:26" x14ac:dyDescent="0.3">
      <c r="A21" s="8"/>
      <c r="B21" s="319" t="s">
        <v>248</v>
      </c>
      <c r="C21" s="11"/>
      <c r="D21" s="11"/>
      <c r="E21" s="11"/>
      <c r="F21" s="11"/>
      <c r="G21" s="11"/>
      <c r="H21" s="11"/>
      <c r="I21" s="11"/>
      <c r="J21" s="11"/>
      <c r="K21" s="11"/>
      <c r="L21" s="9"/>
      <c r="N21" s="8"/>
      <c r="O21" s="11"/>
      <c r="P21" s="11"/>
      <c r="Q21" s="11"/>
      <c r="R21" s="11"/>
      <c r="S21" s="11"/>
      <c r="T21" s="11"/>
      <c r="U21" s="11"/>
      <c r="V21" s="11"/>
      <c r="W21" s="11"/>
      <c r="X21" s="11"/>
      <c r="Y21" s="9"/>
    </row>
    <row r="22" spans="1:26" x14ac:dyDescent="0.3">
      <c r="A22" s="8"/>
      <c r="B22" s="10" t="s">
        <v>246</v>
      </c>
      <c r="C22" s="11"/>
      <c r="D22" s="11"/>
      <c r="E22" s="11"/>
      <c r="F22" s="11"/>
      <c r="G22" s="11"/>
      <c r="H22" s="11"/>
      <c r="I22" s="11"/>
      <c r="J22" s="11"/>
      <c r="K22" s="11"/>
      <c r="L22" s="9"/>
      <c r="N22" s="8"/>
      <c r="O22" s="10" t="s">
        <v>38</v>
      </c>
      <c r="P22" s="11"/>
      <c r="Q22" s="11"/>
      <c r="R22" s="11"/>
      <c r="S22" s="11"/>
      <c r="T22" s="11"/>
      <c r="U22" s="11"/>
      <c r="V22" s="11"/>
      <c r="W22" s="11"/>
      <c r="X22" s="11"/>
      <c r="Y22" s="9"/>
    </row>
    <row r="23" spans="1:26" x14ac:dyDescent="0.3">
      <c r="A23" s="8"/>
      <c r="B23" s="584" t="s">
        <v>39</v>
      </c>
      <c r="C23" s="584"/>
      <c r="D23" s="584"/>
      <c r="E23" s="11" t="s">
        <v>251</v>
      </c>
      <c r="F23" s="11"/>
      <c r="G23" s="11"/>
      <c r="H23" s="11"/>
      <c r="I23" s="11"/>
      <c r="J23" s="11"/>
      <c r="K23" s="11"/>
      <c r="L23" s="9"/>
      <c r="N23" s="8"/>
      <c r="O23" s="584" t="s">
        <v>39</v>
      </c>
      <c r="P23" s="584"/>
      <c r="Q23" s="584"/>
      <c r="R23" s="11" t="s">
        <v>40</v>
      </c>
      <c r="S23" s="11"/>
      <c r="T23" s="11"/>
      <c r="U23" s="11"/>
      <c r="V23" s="11"/>
      <c r="W23" s="11"/>
      <c r="X23" s="11"/>
      <c r="Y23" s="9"/>
    </row>
    <row r="24" spans="1:26" x14ac:dyDescent="0.3">
      <c r="A24" s="8"/>
      <c r="B24" s="343" t="s">
        <v>247</v>
      </c>
      <c r="C24" s="11"/>
      <c r="D24" s="11"/>
      <c r="E24" s="11"/>
      <c r="F24" s="11"/>
      <c r="G24" s="11"/>
      <c r="H24" s="11"/>
      <c r="I24" s="11"/>
      <c r="J24" s="11"/>
      <c r="K24" s="11"/>
      <c r="L24" s="9"/>
      <c r="N24" s="8"/>
      <c r="O24" s="343" t="s">
        <v>128</v>
      </c>
      <c r="P24" s="11"/>
      <c r="Q24" s="11"/>
      <c r="R24" s="11"/>
      <c r="S24" s="11"/>
      <c r="T24" s="11"/>
      <c r="U24" s="11"/>
      <c r="V24" s="11"/>
      <c r="W24" s="11"/>
      <c r="X24" s="11"/>
      <c r="Y24" s="9"/>
    </row>
    <row r="25" spans="1:26" x14ac:dyDescent="0.3">
      <c r="A25" s="8"/>
      <c r="B25" s="46" t="s">
        <v>360</v>
      </c>
      <c r="C25" s="11"/>
      <c r="D25" s="11"/>
      <c r="E25" s="11"/>
      <c r="F25" s="11"/>
      <c r="G25" s="11"/>
      <c r="H25" s="11"/>
      <c r="I25" s="11"/>
      <c r="J25" s="11"/>
      <c r="K25" s="11"/>
      <c r="L25" s="9"/>
      <c r="N25" s="8"/>
      <c r="O25" s="34"/>
      <c r="P25" s="11"/>
      <c r="Q25" s="11"/>
      <c r="R25" s="11"/>
      <c r="S25" s="11"/>
      <c r="T25" s="11"/>
      <c r="U25" s="11"/>
      <c r="V25" s="11"/>
      <c r="W25" s="11"/>
      <c r="X25" s="11"/>
      <c r="Y25" s="9"/>
    </row>
    <row r="26" spans="1:26" x14ac:dyDescent="0.3">
      <c r="A26" s="8"/>
      <c r="B26" s="11"/>
      <c r="C26" s="11"/>
      <c r="D26" s="11"/>
      <c r="E26" s="320"/>
      <c r="F26" s="320" t="s">
        <v>229</v>
      </c>
      <c r="G26" s="321">
        <v>2021</v>
      </c>
      <c r="H26" s="11"/>
      <c r="I26" s="11"/>
      <c r="J26" s="11"/>
      <c r="K26" s="11"/>
      <c r="L26" s="9"/>
      <c r="N26" s="8"/>
      <c r="O26" s="11"/>
      <c r="P26" s="11"/>
      <c r="Q26" s="11"/>
      <c r="R26" s="320"/>
      <c r="S26" s="320" t="s">
        <v>229</v>
      </c>
      <c r="T26" s="321">
        <v>2021</v>
      </c>
      <c r="U26" s="11"/>
      <c r="V26" s="11"/>
      <c r="W26" s="11"/>
      <c r="X26" s="11"/>
      <c r="Y26" s="9"/>
      <c r="Z26" s="47"/>
    </row>
    <row r="27" spans="1:26" ht="28.8" x14ac:dyDescent="0.3">
      <c r="A27" s="8"/>
      <c r="B27" s="39" t="s">
        <v>36</v>
      </c>
      <c r="C27" s="38" t="s">
        <v>242</v>
      </c>
      <c r="D27" s="11"/>
      <c r="E27" s="39"/>
      <c r="F27" s="39" t="s">
        <v>244</v>
      </c>
      <c r="G27" s="38" t="s">
        <v>242</v>
      </c>
      <c r="H27" s="11"/>
      <c r="I27" s="11"/>
      <c r="J27" s="11"/>
      <c r="K27" s="11"/>
      <c r="L27" s="9"/>
      <c r="N27" s="8"/>
      <c r="O27" s="39" t="s">
        <v>36</v>
      </c>
      <c r="P27" s="38" t="s">
        <v>34</v>
      </c>
      <c r="Q27" s="11"/>
      <c r="R27" s="39"/>
      <c r="S27" s="39" t="s">
        <v>37</v>
      </c>
      <c r="T27" s="38" t="s">
        <v>34</v>
      </c>
      <c r="U27" s="11"/>
      <c r="V27" s="11"/>
      <c r="W27" s="11"/>
      <c r="X27" s="11"/>
      <c r="Y27" s="9"/>
      <c r="Z27" s="47"/>
    </row>
    <row r="28" spans="1:26" x14ac:dyDescent="0.3">
      <c r="A28" s="40">
        <f>YEAR(B28)</f>
        <v>2020</v>
      </c>
      <c r="B28" s="316">
        <v>44166</v>
      </c>
      <c r="C28" s="322">
        <v>1711.6</v>
      </c>
      <c r="D28" s="41">
        <v>1</v>
      </c>
      <c r="E28" s="323"/>
      <c r="F28" s="323" t="str">
        <f>"May-"&amp;G26</f>
        <v>May-2021</v>
      </c>
      <c r="G28" s="322">
        <f>C28</f>
        <v>1711.6</v>
      </c>
      <c r="H28" s="11"/>
      <c r="I28" s="11"/>
      <c r="J28" s="11"/>
      <c r="K28" s="11"/>
      <c r="L28" s="9"/>
      <c r="N28" s="40">
        <f>YEAR(O28)</f>
        <v>2020</v>
      </c>
      <c r="O28" s="316">
        <v>44166</v>
      </c>
      <c r="P28" s="322">
        <v>118</v>
      </c>
      <c r="Q28" s="41">
        <v>1</v>
      </c>
      <c r="R28" s="323"/>
      <c r="S28" s="323" t="str">
        <f>"Mar-"&amp;T26</f>
        <v>Mar-2021</v>
      </c>
      <c r="T28" s="322">
        <v>118.5</v>
      </c>
      <c r="U28" s="11"/>
      <c r="V28" s="11"/>
      <c r="W28" s="11"/>
      <c r="X28" s="11"/>
      <c r="Y28" s="9"/>
    </row>
    <row r="29" spans="1:26" x14ac:dyDescent="0.3">
      <c r="A29" s="40">
        <f t="shared" ref="A29:A48" si="8">YEAR(B29)</f>
        <v>2021</v>
      </c>
      <c r="B29" s="316">
        <v>44531</v>
      </c>
      <c r="C29" s="477"/>
      <c r="D29" s="41">
        <v>2</v>
      </c>
      <c r="E29" s="585" t="s">
        <v>249</v>
      </c>
      <c r="F29" s="585"/>
      <c r="G29" s="585"/>
      <c r="H29" s="11"/>
      <c r="I29" s="11"/>
      <c r="J29" s="11"/>
      <c r="K29" s="11"/>
      <c r="L29" s="9"/>
      <c r="N29" s="40">
        <f t="shared" ref="N29:N48" si="9">YEAR(O29)</f>
        <v>2021</v>
      </c>
      <c r="O29" s="316">
        <v>44531</v>
      </c>
      <c r="P29" s="477"/>
      <c r="Q29" s="41">
        <v>2</v>
      </c>
      <c r="R29" s="323"/>
      <c r="S29" s="323" t="str">
        <f>"Jun-"&amp;T26</f>
        <v>Jun-2021</v>
      </c>
      <c r="T29" s="322">
        <v>119.4</v>
      </c>
      <c r="U29" s="11"/>
      <c r="V29" s="11"/>
      <c r="W29" s="11"/>
      <c r="X29" s="11"/>
      <c r="Y29" s="9"/>
    </row>
    <row r="30" spans="1:26" x14ac:dyDescent="0.3">
      <c r="A30" s="40">
        <f t="shared" si="8"/>
        <v>2022</v>
      </c>
      <c r="B30" s="316">
        <v>44896</v>
      </c>
      <c r="C30" s="477"/>
      <c r="D30" s="41">
        <v>3</v>
      </c>
      <c r="E30" s="585"/>
      <c r="F30" s="585"/>
      <c r="G30" s="585"/>
      <c r="H30" s="11"/>
      <c r="I30" s="11"/>
      <c r="J30" s="11"/>
      <c r="K30" s="11"/>
      <c r="L30" s="9"/>
      <c r="N30" s="40">
        <f t="shared" si="9"/>
        <v>2022</v>
      </c>
      <c r="O30" s="316">
        <v>44896</v>
      </c>
      <c r="P30" s="477"/>
      <c r="Q30" s="41">
        <v>3</v>
      </c>
      <c r="R30" s="323"/>
      <c r="S30" s="323" t="str">
        <f>"Sep-"&amp;T26</f>
        <v>Sep-2021</v>
      </c>
      <c r="T30" s="477"/>
      <c r="U30" s="11"/>
      <c r="V30" s="11"/>
      <c r="W30" s="11"/>
      <c r="X30" s="11"/>
      <c r="Y30" s="9"/>
    </row>
    <row r="31" spans="1:26" x14ac:dyDescent="0.3">
      <c r="A31" s="40">
        <f t="shared" si="8"/>
        <v>2023</v>
      </c>
      <c r="B31" s="316">
        <v>45261</v>
      </c>
      <c r="C31" s="477"/>
      <c r="D31" s="41">
        <v>4</v>
      </c>
      <c r="E31" s="585"/>
      <c r="F31" s="585"/>
      <c r="G31" s="585"/>
      <c r="H31" s="11"/>
      <c r="I31" s="11"/>
      <c r="J31" s="11"/>
      <c r="K31" s="11"/>
      <c r="L31" s="9"/>
      <c r="N31" s="40">
        <f t="shared" si="9"/>
        <v>2023</v>
      </c>
      <c r="O31" s="316">
        <v>45261</v>
      </c>
      <c r="P31" s="477"/>
      <c r="Q31" s="41">
        <v>4</v>
      </c>
      <c r="R31" s="323"/>
      <c r="S31" s="323" t="str">
        <f>"Dec-"&amp;T26</f>
        <v>Dec-2021</v>
      </c>
      <c r="T31" s="477"/>
      <c r="U31" s="11"/>
      <c r="V31" s="11"/>
      <c r="W31" s="11"/>
      <c r="X31" s="11"/>
      <c r="Y31" s="9"/>
    </row>
    <row r="32" spans="1:26" x14ac:dyDescent="0.3">
      <c r="A32" s="40">
        <f t="shared" si="8"/>
        <v>2024</v>
      </c>
      <c r="B32" s="316">
        <v>45627</v>
      </c>
      <c r="C32" s="477"/>
      <c r="D32" s="324"/>
      <c r="E32" s="11"/>
      <c r="F32" s="11"/>
      <c r="G32" s="11"/>
      <c r="H32" s="11"/>
      <c r="I32" s="11"/>
      <c r="J32" s="11"/>
      <c r="K32" s="11"/>
      <c r="L32" s="9"/>
      <c r="N32" s="40">
        <f t="shared" si="9"/>
        <v>2024</v>
      </c>
      <c r="O32" s="316">
        <v>45627</v>
      </c>
      <c r="P32" s="477"/>
      <c r="Q32" s="324"/>
      <c r="R32" s="11"/>
      <c r="S32" s="11"/>
      <c r="T32" s="11"/>
      <c r="U32" s="11"/>
      <c r="V32" s="11"/>
      <c r="W32" s="11"/>
      <c r="X32" s="11"/>
      <c r="Y32" s="9"/>
    </row>
    <row r="33" spans="1:25" x14ac:dyDescent="0.3">
      <c r="A33" s="40">
        <f t="shared" si="8"/>
        <v>2025</v>
      </c>
      <c r="B33" s="316">
        <v>45992</v>
      </c>
      <c r="C33" s="477"/>
      <c r="D33" s="11"/>
      <c r="E33" s="11"/>
      <c r="F33" s="11"/>
      <c r="G33" s="11"/>
      <c r="H33" s="11"/>
      <c r="I33" s="11"/>
      <c r="J33" s="11"/>
      <c r="K33" s="11"/>
      <c r="L33" s="9"/>
      <c r="N33" s="40">
        <f t="shared" si="9"/>
        <v>2025</v>
      </c>
      <c r="O33" s="316">
        <v>45992</v>
      </c>
      <c r="P33" s="477"/>
      <c r="Q33" s="11"/>
      <c r="R33" s="11"/>
      <c r="S33" s="11"/>
      <c r="T33" s="11"/>
      <c r="U33" s="11"/>
      <c r="V33" s="11"/>
      <c r="W33" s="11"/>
      <c r="X33" s="11"/>
      <c r="Y33" s="9"/>
    </row>
    <row r="34" spans="1:25" x14ac:dyDescent="0.3">
      <c r="A34" s="40">
        <f t="shared" si="8"/>
        <v>2026</v>
      </c>
      <c r="B34" s="316">
        <v>46357</v>
      </c>
      <c r="C34" s="477"/>
      <c r="D34" s="11"/>
      <c r="E34" s="11"/>
      <c r="F34" s="11"/>
      <c r="G34" s="11"/>
      <c r="H34" s="11"/>
      <c r="I34" s="11"/>
      <c r="J34" s="11"/>
      <c r="K34" s="11"/>
      <c r="L34" s="9"/>
      <c r="N34" s="40">
        <f t="shared" si="9"/>
        <v>2026</v>
      </c>
      <c r="O34" s="316">
        <v>46357</v>
      </c>
      <c r="P34" s="477"/>
      <c r="Q34" s="11"/>
      <c r="R34" s="11"/>
      <c r="S34" s="11"/>
      <c r="T34" s="11"/>
      <c r="U34" s="11"/>
      <c r="V34" s="11"/>
      <c r="W34" s="11"/>
      <c r="X34" s="11"/>
      <c r="Y34" s="9"/>
    </row>
    <row r="35" spans="1:25" x14ac:dyDescent="0.3">
      <c r="A35" s="40">
        <f t="shared" si="8"/>
        <v>2027</v>
      </c>
      <c r="B35" s="316">
        <v>46722</v>
      </c>
      <c r="C35" s="477"/>
      <c r="D35" s="11"/>
      <c r="E35" s="325"/>
      <c r="F35" s="11"/>
      <c r="G35" s="325"/>
      <c r="H35" s="325"/>
      <c r="I35" s="325"/>
      <c r="J35" s="325"/>
      <c r="K35" s="325"/>
      <c r="L35" s="9"/>
      <c r="N35" s="40">
        <f t="shared" si="9"/>
        <v>2027</v>
      </c>
      <c r="O35" s="316">
        <v>46722</v>
      </c>
      <c r="P35" s="477"/>
      <c r="Q35" s="11"/>
      <c r="R35" s="325"/>
      <c r="S35" s="11"/>
      <c r="T35" s="325"/>
      <c r="U35" s="325"/>
      <c r="V35" s="325"/>
      <c r="W35" s="325"/>
      <c r="X35" s="325"/>
      <c r="Y35" s="9"/>
    </row>
    <row r="36" spans="1:25" x14ac:dyDescent="0.3">
      <c r="A36" s="40">
        <f t="shared" si="8"/>
        <v>2028</v>
      </c>
      <c r="B36" s="316">
        <v>47088</v>
      </c>
      <c r="C36" s="477"/>
      <c r="D36" s="11"/>
      <c r="E36" s="325"/>
      <c r="F36" s="11"/>
      <c r="G36" s="325"/>
      <c r="H36" s="325"/>
      <c r="I36" s="325"/>
      <c r="J36" s="325"/>
      <c r="K36" s="325"/>
      <c r="L36" s="9"/>
      <c r="N36" s="40">
        <f t="shared" si="9"/>
        <v>2028</v>
      </c>
      <c r="O36" s="316">
        <v>47088</v>
      </c>
      <c r="P36" s="477"/>
      <c r="Q36" s="11"/>
      <c r="R36" s="325"/>
      <c r="S36" s="11"/>
      <c r="T36" s="325"/>
      <c r="U36" s="325"/>
      <c r="V36" s="325"/>
      <c r="W36" s="325"/>
      <c r="X36" s="325"/>
      <c r="Y36" s="9"/>
    </row>
    <row r="37" spans="1:25" x14ac:dyDescent="0.3">
      <c r="A37" s="40">
        <f t="shared" si="8"/>
        <v>2029</v>
      </c>
      <c r="B37" s="316">
        <v>47453</v>
      </c>
      <c r="C37" s="477"/>
      <c r="D37" s="11"/>
      <c r="E37" s="325"/>
      <c r="F37" s="11"/>
      <c r="G37" s="325"/>
      <c r="H37" s="325"/>
      <c r="I37" s="325"/>
      <c r="J37" s="325"/>
      <c r="K37" s="325"/>
      <c r="L37" s="9"/>
      <c r="N37" s="40">
        <f t="shared" si="9"/>
        <v>2029</v>
      </c>
      <c r="O37" s="316">
        <v>47453</v>
      </c>
      <c r="P37" s="477"/>
      <c r="Q37" s="11"/>
      <c r="R37" s="325"/>
      <c r="S37" s="11"/>
      <c r="T37" s="325"/>
      <c r="U37" s="325"/>
      <c r="V37" s="325"/>
      <c r="W37" s="325"/>
      <c r="X37" s="325"/>
      <c r="Y37" s="9"/>
    </row>
    <row r="38" spans="1:25" x14ac:dyDescent="0.3">
      <c r="A38" s="40">
        <f t="shared" si="8"/>
        <v>2030</v>
      </c>
      <c r="B38" s="316">
        <v>47818</v>
      </c>
      <c r="C38" s="477"/>
      <c r="D38" s="11"/>
      <c r="E38" s="325"/>
      <c r="F38" s="11"/>
      <c r="G38" s="325"/>
      <c r="H38" s="325"/>
      <c r="I38" s="325"/>
      <c r="J38" s="325"/>
      <c r="K38" s="325"/>
      <c r="L38" s="9"/>
      <c r="N38" s="40">
        <f t="shared" si="9"/>
        <v>2030</v>
      </c>
      <c r="O38" s="316">
        <v>47818</v>
      </c>
      <c r="P38" s="477"/>
      <c r="Q38" s="11"/>
      <c r="R38" s="325"/>
      <c r="S38" s="11"/>
      <c r="T38" s="325"/>
      <c r="U38" s="325"/>
      <c r="V38" s="325"/>
      <c r="W38" s="325"/>
      <c r="X38" s="325"/>
      <c r="Y38" s="9"/>
    </row>
    <row r="39" spans="1:25" x14ac:dyDescent="0.3">
      <c r="A39" s="40">
        <f t="shared" si="8"/>
        <v>2031</v>
      </c>
      <c r="B39" s="316">
        <v>48183</v>
      </c>
      <c r="C39" s="477"/>
      <c r="D39" s="11"/>
      <c r="E39" s="325"/>
      <c r="F39" s="325"/>
      <c r="G39" s="325"/>
      <c r="H39" s="325"/>
      <c r="I39" s="325"/>
      <c r="J39" s="325"/>
      <c r="K39" s="325"/>
      <c r="L39" s="9"/>
      <c r="N39" s="40">
        <f t="shared" si="9"/>
        <v>2031</v>
      </c>
      <c r="O39" s="316">
        <v>48183</v>
      </c>
      <c r="P39" s="477"/>
      <c r="Q39" s="11"/>
      <c r="R39" s="325"/>
      <c r="S39" s="325"/>
      <c r="T39" s="325"/>
      <c r="U39" s="325"/>
      <c r="V39" s="325"/>
      <c r="W39" s="325"/>
      <c r="X39" s="325"/>
      <c r="Y39" s="9"/>
    </row>
    <row r="40" spans="1:25" x14ac:dyDescent="0.3">
      <c r="A40" s="40">
        <f t="shared" si="8"/>
        <v>2032</v>
      </c>
      <c r="B40" s="316">
        <v>48549</v>
      </c>
      <c r="C40" s="477"/>
      <c r="D40" s="11"/>
      <c r="E40" s="325"/>
      <c r="F40" s="325"/>
      <c r="G40" s="325"/>
      <c r="H40" s="325"/>
      <c r="I40" s="325"/>
      <c r="J40" s="325"/>
      <c r="K40" s="325"/>
      <c r="L40" s="9"/>
      <c r="N40" s="40">
        <f t="shared" si="9"/>
        <v>2032</v>
      </c>
      <c r="O40" s="316">
        <v>48549</v>
      </c>
      <c r="P40" s="477"/>
      <c r="Q40" s="11"/>
      <c r="R40" s="325"/>
      <c r="S40" s="325"/>
      <c r="T40" s="325"/>
      <c r="U40" s="325"/>
      <c r="V40" s="325"/>
      <c r="W40" s="325"/>
      <c r="X40" s="325"/>
      <c r="Y40" s="9"/>
    </row>
    <row r="41" spans="1:25" x14ac:dyDescent="0.3">
      <c r="A41" s="40">
        <f t="shared" si="8"/>
        <v>2033</v>
      </c>
      <c r="B41" s="316">
        <v>48914</v>
      </c>
      <c r="C41" s="477"/>
      <c r="D41" s="11"/>
      <c r="E41" s="325"/>
      <c r="F41" s="325"/>
      <c r="G41" s="325"/>
      <c r="H41" s="325"/>
      <c r="I41" s="325"/>
      <c r="J41" s="325"/>
      <c r="K41" s="325"/>
      <c r="L41" s="9"/>
      <c r="N41" s="40">
        <f t="shared" si="9"/>
        <v>2033</v>
      </c>
      <c r="O41" s="316">
        <v>48914</v>
      </c>
      <c r="P41" s="477"/>
      <c r="Q41" s="11"/>
      <c r="R41" s="325"/>
      <c r="S41" s="325"/>
      <c r="T41" s="325"/>
      <c r="U41" s="325"/>
      <c r="V41" s="325"/>
      <c r="W41" s="325"/>
      <c r="X41" s="325"/>
      <c r="Y41" s="9"/>
    </row>
    <row r="42" spans="1:25" x14ac:dyDescent="0.3">
      <c r="A42" s="40">
        <f t="shared" si="8"/>
        <v>2034</v>
      </c>
      <c r="B42" s="316">
        <v>49279</v>
      </c>
      <c r="C42" s="477"/>
      <c r="D42" s="11"/>
      <c r="E42" s="325"/>
      <c r="F42" s="325"/>
      <c r="G42" s="325"/>
      <c r="H42" s="325"/>
      <c r="I42" s="325"/>
      <c r="J42" s="325"/>
      <c r="K42" s="325"/>
      <c r="L42" s="9"/>
      <c r="N42" s="40">
        <f t="shared" si="9"/>
        <v>2034</v>
      </c>
      <c r="O42" s="316">
        <v>49279</v>
      </c>
      <c r="P42" s="477"/>
      <c r="Q42" s="11"/>
      <c r="R42" s="325"/>
      <c r="S42" s="325"/>
      <c r="T42" s="325"/>
      <c r="U42" s="325"/>
      <c r="V42" s="325"/>
      <c r="W42" s="325"/>
      <c r="X42" s="325"/>
      <c r="Y42" s="9"/>
    </row>
    <row r="43" spans="1:25" x14ac:dyDescent="0.3">
      <c r="A43" s="40">
        <f t="shared" si="8"/>
        <v>2035</v>
      </c>
      <c r="B43" s="316">
        <v>49644</v>
      </c>
      <c r="C43" s="477"/>
      <c r="D43" s="11"/>
      <c r="E43" s="325"/>
      <c r="F43" s="325"/>
      <c r="G43" s="325"/>
      <c r="H43" s="325"/>
      <c r="I43" s="325"/>
      <c r="J43" s="325"/>
      <c r="K43" s="325"/>
      <c r="L43" s="9"/>
      <c r="N43" s="40">
        <f t="shared" si="9"/>
        <v>2035</v>
      </c>
      <c r="O43" s="316">
        <v>49644</v>
      </c>
      <c r="P43" s="477"/>
      <c r="Q43" s="11"/>
      <c r="R43" s="325"/>
      <c r="S43" s="325"/>
      <c r="T43" s="325"/>
      <c r="U43" s="325"/>
      <c r="V43" s="325"/>
      <c r="W43" s="325"/>
      <c r="X43" s="325"/>
      <c r="Y43" s="9"/>
    </row>
    <row r="44" spans="1:25" x14ac:dyDescent="0.3">
      <c r="A44" s="40">
        <f t="shared" si="8"/>
        <v>2036</v>
      </c>
      <c r="B44" s="316">
        <v>50010</v>
      </c>
      <c r="C44" s="477"/>
      <c r="D44" s="11"/>
      <c r="E44" s="325"/>
      <c r="F44" s="325"/>
      <c r="G44" s="325"/>
      <c r="H44" s="325"/>
      <c r="I44" s="325"/>
      <c r="J44" s="325"/>
      <c r="K44" s="325"/>
      <c r="L44" s="9"/>
      <c r="N44" s="40">
        <f t="shared" si="9"/>
        <v>2036</v>
      </c>
      <c r="O44" s="316">
        <v>50010</v>
      </c>
      <c r="P44" s="477"/>
      <c r="Q44" s="11"/>
      <c r="R44" s="325"/>
      <c r="S44" s="325"/>
      <c r="T44" s="325"/>
      <c r="U44" s="325"/>
      <c r="V44" s="325"/>
      <c r="W44" s="325"/>
      <c r="X44" s="325"/>
      <c r="Y44" s="9"/>
    </row>
    <row r="45" spans="1:25" x14ac:dyDescent="0.3">
      <c r="A45" s="40">
        <f t="shared" si="8"/>
        <v>2037</v>
      </c>
      <c r="B45" s="316">
        <v>50375</v>
      </c>
      <c r="C45" s="477"/>
      <c r="D45" s="11"/>
      <c r="E45" s="325"/>
      <c r="F45" s="325"/>
      <c r="G45" s="325"/>
      <c r="H45" s="325"/>
      <c r="I45" s="325"/>
      <c r="J45" s="325"/>
      <c r="K45" s="325"/>
      <c r="L45" s="9"/>
      <c r="N45" s="40">
        <f t="shared" si="9"/>
        <v>2037</v>
      </c>
      <c r="O45" s="316">
        <v>50375</v>
      </c>
      <c r="P45" s="477"/>
      <c r="Q45" s="11"/>
      <c r="R45" s="325"/>
      <c r="S45" s="325"/>
      <c r="T45" s="325"/>
      <c r="U45" s="325"/>
      <c r="V45" s="325"/>
      <c r="W45" s="325"/>
      <c r="X45" s="325"/>
      <c r="Y45" s="9"/>
    </row>
    <row r="46" spans="1:25" x14ac:dyDescent="0.3">
      <c r="A46" s="40">
        <f t="shared" si="8"/>
        <v>2038</v>
      </c>
      <c r="B46" s="316">
        <v>50740</v>
      </c>
      <c r="C46" s="477"/>
      <c r="D46" s="11"/>
      <c r="E46" s="325"/>
      <c r="F46" s="325"/>
      <c r="G46" s="325"/>
      <c r="H46" s="325"/>
      <c r="I46" s="325"/>
      <c r="J46" s="325"/>
      <c r="K46" s="325"/>
      <c r="L46" s="9"/>
      <c r="N46" s="40">
        <f t="shared" si="9"/>
        <v>2038</v>
      </c>
      <c r="O46" s="316">
        <v>50740</v>
      </c>
      <c r="P46" s="477"/>
      <c r="Q46" s="11"/>
      <c r="R46" s="325"/>
      <c r="S46" s="325"/>
      <c r="T46" s="325"/>
      <c r="U46" s="325"/>
      <c r="V46" s="325"/>
      <c r="W46" s="325"/>
      <c r="X46" s="325"/>
      <c r="Y46" s="9"/>
    </row>
    <row r="47" spans="1:25" x14ac:dyDescent="0.3">
      <c r="A47" s="40">
        <f t="shared" si="8"/>
        <v>2039</v>
      </c>
      <c r="B47" s="316">
        <v>51105</v>
      </c>
      <c r="C47" s="477"/>
      <c r="D47" s="11"/>
      <c r="E47" s="325"/>
      <c r="F47" s="325"/>
      <c r="G47" s="325"/>
      <c r="H47" s="325"/>
      <c r="I47" s="325"/>
      <c r="J47" s="325"/>
      <c r="K47" s="325"/>
      <c r="L47" s="9"/>
      <c r="N47" s="40">
        <f t="shared" si="9"/>
        <v>2039</v>
      </c>
      <c r="O47" s="316">
        <v>51105</v>
      </c>
      <c r="P47" s="477"/>
      <c r="Q47" s="11"/>
      <c r="R47" s="325"/>
      <c r="S47" s="325"/>
      <c r="T47" s="325"/>
      <c r="U47" s="325"/>
      <c r="V47" s="325"/>
      <c r="W47" s="325"/>
      <c r="X47" s="325"/>
      <c r="Y47" s="9"/>
    </row>
    <row r="48" spans="1:25" x14ac:dyDescent="0.3">
      <c r="A48" s="40">
        <f t="shared" si="8"/>
        <v>2040</v>
      </c>
      <c r="B48" s="316">
        <v>51471</v>
      </c>
      <c r="C48" s="477"/>
      <c r="D48" s="11"/>
      <c r="E48" s="325"/>
      <c r="F48" s="325"/>
      <c r="G48" s="325"/>
      <c r="H48" s="325"/>
      <c r="I48" s="325"/>
      <c r="J48" s="325"/>
      <c r="K48" s="325"/>
      <c r="L48" s="9"/>
      <c r="N48" s="40">
        <f t="shared" si="9"/>
        <v>2040</v>
      </c>
      <c r="O48" s="316">
        <v>51471</v>
      </c>
      <c r="P48" s="477"/>
      <c r="Q48" s="11"/>
      <c r="R48" s="325"/>
      <c r="S48" s="325"/>
      <c r="T48" s="325"/>
      <c r="U48" s="325"/>
      <c r="V48" s="325"/>
      <c r="W48" s="325"/>
      <c r="X48" s="325"/>
      <c r="Y48" s="9"/>
    </row>
    <row r="49" spans="1:25" ht="15" thickBot="1" x14ac:dyDescent="0.35">
      <c r="A49" s="12"/>
      <c r="B49" s="13"/>
      <c r="C49" s="13"/>
      <c r="D49" s="13"/>
      <c r="E49" s="13"/>
      <c r="F49" s="13"/>
      <c r="G49" s="13"/>
      <c r="H49" s="13"/>
      <c r="I49" s="13"/>
      <c r="J49" s="13"/>
      <c r="K49" s="13"/>
      <c r="L49" s="14"/>
      <c r="N49" s="12"/>
      <c r="O49" s="13"/>
      <c r="P49" s="13"/>
      <c r="Q49" s="13"/>
      <c r="R49" s="13"/>
      <c r="S49" s="13"/>
      <c r="T49" s="13"/>
      <c r="U49" s="13"/>
      <c r="V49" s="13"/>
      <c r="W49" s="13"/>
      <c r="X49" s="13"/>
      <c r="Y49" s="14"/>
    </row>
    <row r="50" spans="1:25" x14ac:dyDescent="0.3">
      <c r="B50" s="35"/>
      <c r="C50" s="36"/>
      <c r="O50" s="35"/>
      <c r="P50" s="36"/>
    </row>
    <row r="51" spans="1:25" x14ac:dyDescent="0.3">
      <c r="B51" s="35"/>
      <c r="C51" s="36"/>
      <c r="O51" s="35"/>
      <c r="P51" s="36"/>
    </row>
    <row r="52" spans="1:25" x14ac:dyDescent="0.3">
      <c r="B52" s="35"/>
      <c r="C52" s="36"/>
      <c r="O52" s="35"/>
      <c r="P52" s="36"/>
    </row>
    <row r="53" spans="1:25" x14ac:dyDescent="0.3">
      <c r="B53" s="35"/>
      <c r="C53" s="36"/>
      <c r="O53" s="35"/>
      <c r="P53" s="36"/>
    </row>
    <row r="54" spans="1:25" x14ac:dyDescent="0.3">
      <c r="B54" s="35"/>
      <c r="C54" s="36"/>
      <c r="O54" s="35"/>
      <c r="P54" s="36"/>
    </row>
    <row r="55" spans="1:25" x14ac:dyDescent="0.3">
      <c r="B55" s="35"/>
      <c r="C55" s="36"/>
      <c r="O55" s="35"/>
      <c r="P55" s="36"/>
    </row>
  </sheetData>
  <sheetProtection algorithmName="SHA-512" hashValue="aVB2d+KeB0Bo/o9cs7C7ZdpvMsNeyj2e0Nj4oRikjYWrkSEyeR4hflJ+PU/561brHulraOJ24kT5bcy+I3dLBg==" saltValue="c+bU/53QAbaHbpbhYf3Zwg==" spinCount="100000" sheet="1" objects="1" scenarios="1"/>
  <mergeCells count="15">
    <mergeCell ref="O23:Q23"/>
    <mergeCell ref="O2:X2"/>
    <mergeCell ref="O10:X10"/>
    <mergeCell ref="O7:Q7"/>
    <mergeCell ref="O8:Q8"/>
    <mergeCell ref="V7:V8"/>
    <mergeCell ref="O4:W4"/>
    <mergeCell ref="B23:D23"/>
    <mergeCell ref="E29:G31"/>
    <mergeCell ref="B2:K2"/>
    <mergeCell ref="B7:D7"/>
    <mergeCell ref="I7:I8"/>
    <mergeCell ref="B8:D8"/>
    <mergeCell ref="B10:K10"/>
    <mergeCell ref="B4:J4"/>
  </mergeCells>
  <dataValidations count="4">
    <dataValidation type="whole" operator="greaterThanOrEqual" allowBlank="1" showInputMessage="1" showErrorMessage="1" sqref="R7:R8 E7:E8" xr:uid="{6D608DE8-90C7-44B3-98FD-E57A9F192BDF}">
      <formula1>1970</formula1>
    </dataValidation>
    <dataValidation type="whole" allowBlank="1" showInputMessage="1" showErrorMessage="1" sqref="S8 F8" xr:uid="{F443BC86-BB42-4614-ACBD-07C120612CC0}">
      <formula1>1</formula1>
      <formula2>4</formula2>
    </dataValidation>
    <dataValidation type="whole" operator="equal" allowBlank="1" showInputMessage="1" showErrorMessage="1" sqref="S7" xr:uid="{3D78F5B7-9605-47C1-9120-1D1B9D310C5F}">
      <formula1>4</formula1>
    </dataValidation>
    <dataValidation type="whole" operator="equal" allowBlank="1" showInputMessage="1" showErrorMessage="1" sqref="F7" xr:uid="{40589F6A-DA37-4F72-9042-908F8306090F}">
      <formula1>2</formula1>
    </dataValidation>
  </dataValidations>
  <hyperlinks>
    <hyperlink ref="O24" r:id="rId1" xr:uid="{1EE220C6-A4BA-47D0-BAEC-72712436B8AD}"/>
    <hyperlink ref="B24" r:id="rId2" xr:uid="{09A38271-557E-4467-BACF-1D7508175F4B}"/>
  </hyperlinks>
  <pageMargins left="0.25" right="0.25" top="0.75" bottom="0.75" header="0.3" footer="0.3"/>
  <pageSetup paperSize="9" scale="95" fitToWidth="2" orientation="portrait" horizontalDpi="1200" verticalDpi="1200" r:id="rId3"/>
  <headerFooter>
    <oddFooter>&amp;R&amp;"-,Italic"&amp;K03+000Page &amp;P of &amp;N</oddFooter>
  </headerFooter>
  <colBreaks count="1" manualBreakCount="1">
    <brk id="23" max="1048575" man="1"/>
  </colBreaks>
  <ignoredErrors>
    <ignoredError sqref="I13:J16 G17 I17:J1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6C96A-F21C-43E9-8BBA-488DFE5F093A}">
  <sheetPr codeName="Sheet8">
    <tabColor theme="7" tint="-0.249977111117893"/>
    <pageSetUpPr fitToPage="1"/>
  </sheetPr>
  <dimension ref="A1:J21"/>
  <sheetViews>
    <sheetView workbookViewId="0">
      <selection activeCell="C1" sqref="C1"/>
    </sheetView>
  </sheetViews>
  <sheetFormatPr defaultRowHeight="14.4" x14ac:dyDescent="0.3"/>
  <cols>
    <col min="1" max="1" width="3" customWidth="1"/>
    <col min="2" max="2" width="9.21875" customWidth="1"/>
    <col min="3" max="3" width="37.21875" customWidth="1"/>
    <col min="4" max="6" width="9.21875" customWidth="1"/>
    <col min="10" max="10" width="3" customWidth="1"/>
  </cols>
  <sheetData>
    <row r="1" spans="1:10" ht="15" thickBot="1" x14ac:dyDescent="0.35">
      <c r="A1" s="52"/>
      <c r="B1" s="52"/>
      <c r="C1" s="52"/>
      <c r="D1" s="52"/>
      <c r="E1" s="52"/>
      <c r="F1" s="52"/>
      <c r="G1" s="52"/>
      <c r="H1" s="52"/>
      <c r="I1" s="52"/>
      <c r="J1" s="52"/>
    </row>
    <row r="2" spans="1:10" ht="24" thickBot="1" x14ac:dyDescent="0.5">
      <c r="B2" s="553" t="s">
        <v>65</v>
      </c>
      <c r="C2" s="554"/>
      <c r="D2" s="554"/>
      <c r="E2" s="554"/>
      <c r="F2" s="554"/>
      <c r="G2" s="554"/>
      <c r="H2" s="554"/>
      <c r="I2" s="555"/>
    </row>
    <row r="3" spans="1:10" s="160" customFormat="1" x14ac:dyDescent="0.3">
      <c r="B3" s="161" t="s">
        <v>384</v>
      </c>
    </row>
    <row r="4" spans="1:10" s="160" customFormat="1" x14ac:dyDescent="0.3">
      <c r="B4" s="590" t="s">
        <v>430</v>
      </c>
      <c r="C4" s="590"/>
      <c r="D4" s="590"/>
      <c r="E4" s="590"/>
      <c r="F4" s="590"/>
    </row>
    <row r="5" spans="1:10" s="160" customFormat="1" ht="15" thickBot="1" x14ac:dyDescent="0.35">
      <c r="B5" s="161"/>
    </row>
    <row r="6" spans="1:10" s="160" customFormat="1" ht="13.95" customHeight="1" x14ac:dyDescent="0.25">
      <c r="B6" s="591" t="s">
        <v>388</v>
      </c>
      <c r="C6" s="592"/>
      <c r="D6" s="592"/>
      <c r="E6" s="592"/>
      <c r="F6" s="592"/>
      <c r="G6" s="592"/>
      <c r="H6" s="592"/>
      <c r="I6" s="593"/>
    </row>
    <row r="7" spans="1:10" s="160" customFormat="1" ht="13.95" customHeight="1" x14ac:dyDescent="0.25">
      <c r="B7" s="594"/>
      <c r="C7" s="595"/>
      <c r="D7" s="595"/>
      <c r="E7" s="595"/>
      <c r="F7" s="595"/>
      <c r="G7" s="595"/>
      <c r="H7" s="595"/>
      <c r="I7" s="596"/>
    </row>
    <row r="8" spans="1:10" s="160" customFormat="1" ht="13.95" customHeight="1" x14ac:dyDescent="0.25">
      <c r="B8" s="594"/>
      <c r="C8" s="595"/>
      <c r="D8" s="595"/>
      <c r="E8" s="595"/>
      <c r="F8" s="595"/>
      <c r="G8" s="595"/>
      <c r="H8" s="595"/>
      <c r="I8" s="596"/>
    </row>
    <row r="9" spans="1:10" s="160" customFormat="1" ht="13.95" customHeight="1" x14ac:dyDescent="0.25">
      <c r="B9" s="594"/>
      <c r="C9" s="595"/>
      <c r="D9" s="595"/>
      <c r="E9" s="595"/>
      <c r="F9" s="595"/>
      <c r="G9" s="595"/>
      <c r="H9" s="595"/>
      <c r="I9" s="596"/>
    </row>
    <row r="10" spans="1:10" s="160" customFormat="1" ht="13.95" customHeight="1" x14ac:dyDescent="0.25">
      <c r="B10" s="594"/>
      <c r="C10" s="595"/>
      <c r="D10" s="595"/>
      <c r="E10" s="595"/>
      <c r="F10" s="595"/>
      <c r="G10" s="595"/>
      <c r="H10" s="595"/>
      <c r="I10" s="596"/>
    </row>
    <row r="11" spans="1:10" s="160" customFormat="1" ht="13.95" customHeight="1" x14ac:dyDescent="0.25">
      <c r="B11" s="594"/>
      <c r="C11" s="595"/>
      <c r="D11" s="595"/>
      <c r="E11" s="595"/>
      <c r="F11" s="595"/>
      <c r="G11" s="595"/>
      <c r="H11" s="595"/>
      <c r="I11" s="596"/>
    </row>
    <row r="12" spans="1:10" s="160" customFormat="1" ht="13.95" customHeight="1" x14ac:dyDescent="0.25">
      <c r="B12" s="594"/>
      <c r="C12" s="595"/>
      <c r="D12" s="595"/>
      <c r="E12" s="595"/>
      <c r="F12" s="595"/>
      <c r="G12" s="595"/>
      <c r="H12" s="595"/>
      <c r="I12" s="596"/>
    </row>
    <row r="13" spans="1:10" s="160" customFormat="1" ht="13.95" customHeight="1" x14ac:dyDescent="0.25">
      <c r="B13" s="594"/>
      <c r="C13" s="595"/>
      <c r="D13" s="595"/>
      <c r="E13" s="595"/>
      <c r="F13" s="595"/>
      <c r="G13" s="595"/>
      <c r="H13" s="595"/>
      <c r="I13" s="596"/>
    </row>
    <row r="14" spans="1:10" s="160" customFormat="1" ht="13.95" customHeight="1" x14ac:dyDescent="0.25">
      <c r="B14" s="594"/>
      <c r="C14" s="595"/>
      <c r="D14" s="595"/>
      <c r="E14" s="595"/>
      <c r="F14" s="595"/>
      <c r="G14" s="595"/>
      <c r="H14" s="595"/>
      <c r="I14" s="596"/>
    </row>
    <row r="15" spans="1:10" s="160" customFormat="1" ht="13.95" customHeight="1" x14ac:dyDescent="0.25">
      <c r="B15" s="594"/>
      <c r="C15" s="595"/>
      <c r="D15" s="595"/>
      <c r="E15" s="595"/>
      <c r="F15" s="595"/>
      <c r="G15" s="595"/>
      <c r="H15" s="595"/>
      <c r="I15" s="596"/>
    </row>
    <row r="16" spans="1:10" s="160" customFormat="1" ht="13.95" customHeight="1" x14ac:dyDescent="0.25">
      <c r="B16" s="594"/>
      <c r="C16" s="595"/>
      <c r="D16" s="595"/>
      <c r="E16" s="595"/>
      <c r="F16" s="595"/>
      <c r="G16" s="595"/>
      <c r="H16" s="595"/>
      <c r="I16" s="596"/>
    </row>
    <row r="17" spans="2:9" s="160" customFormat="1" ht="13.95" customHeight="1" x14ac:dyDescent="0.25">
      <c r="B17" s="594"/>
      <c r="C17" s="595"/>
      <c r="D17" s="595"/>
      <c r="E17" s="595"/>
      <c r="F17" s="595"/>
      <c r="G17" s="595"/>
      <c r="H17" s="595"/>
      <c r="I17" s="596"/>
    </row>
    <row r="18" spans="2:9" s="160" customFormat="1" ht="13.95" customHeight="1" thickBot="1" x14ac:dyDescent="0.3">
      <c r="B18" s="594"/>
      <c r="C18" s="595"/>
      <c r="D18" s="595"/>
      <c r="E18" s="595"/>
      <c r="F18" s="595"/>
      <c r="G18" s="595"/>
      <c r="H18" s="595"/>
      <c r="I18" s="596"/>
    </row>
    <row r="19" spans="2:9" s="160" customFormat="1" ht="13.95" customHeight="1" x14ac:dyDescent="0.3">
      <c r="B19" s="6"/>
      <c r="C19" s="6"/>
      <c r="D19" s="6"/>
      <c r="E19" s="6"/>
      <c r="F19" s="6"/>
      <c r="G19" s="6"/>
      <c r="H19" s="6"/>
      <c r="I19" s="6"/>
    </row>
    <row r="20" spans="2:9" s="160" customFormat="1" ht="14.55" customHeight="1" x14ac:dyDescent="0.3">
      <c r="B20"/>
      <c r="C20"/>
      <c r="D20"/>
      <c r="E20"/>
      <c r="F20"/>
      <c r="G20"/>
      <c r="H20"/>
      <c r="I20"/>
    </row>
    <row r="21" spans="2:9" s="160" customFormat="1" x14ac:dyDescent="0.3">
      <c r="B21" s="161"/>
    </row>
  </sheetData>
  <sheetProtection algorithmName="SHA-512" hashValue="Bh5QsTkBG49r4NSt1fLEkBXvm88Eq1UZUh8mwoZPvA4/SqcZ6tVgpi2STjazbSzutIY24lf3y6u0HpfprACC8Q==" saltValue="mFXihaNUBmt8HjQatlIwyg==" spinCount="100000" sheet="1" objects="1" scenarios="1"/>
  <mergeCells count="3">
    <mergeCell ref="B2:I2"/>
    <mergeCell ref="B4:F4"/>
    <mergeCell ref="B6:I18"/>
  </mergeCells>
  <pageMargins left="0.23622047244094491" right="0.23622047244094491" top="0.74803149606299213" bottom="0.74803149606299213" header="0.31496062992125984" footer="0.31496062992125984"/>
  <pageSetup paperSize="9" scale="92" fitToHeight="0" orientation="portrait" horizontalDpi="1200" verticalDpi="1200" r:id="rId1"/>
  <headerFooter>
    <oddFooter>&amp;R&amp;"-,Italic"&amp;K03+000Page &amp;P of &amp;N</oddFooter>
  </headerFooter>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8AFE9-C7E7-4424-8FF1-75AE5A261BB6}">
  <sheetPr codeName="Sheet1">
    <tabColor theme="8" tint="0.59999389629810485"/>
    <pageSetUpPr fitToPage="1"/>
  </sheetPr>
  <dimension ref="A1:T111"/>
  <sheetViews>
    <sheetView zoomScale="85" zoomScaleNormal="85" workbookViewId="0">
      <pane ySplit="7" topLeftCell="A8" activePane="bottomLeft" state="frozen"/>
      <selection pane="bottomLeft" activeCell="L69" sqref="L69"/>
    </sheetView>
  </sheetViews>
  <sheetFormatPr defaultRowHeight="14.4" x14ac:dyDescent="0.3"/>
  <cols>
    <col min="1" max="1" width="3" style="54" customWidth="1"/>
    <col min="2" max="2" width="40.21875" style="54" customWidth="1"/>
    <col min="3" max="3" width="11.77734375" style="54" customWidth="1"/>
    <col min="4" max="4" width="8.77734375" style="54"/>
    <col min="5" max="5" width="8.77734375" style="54" customWidth="1"/>
    <col min="6" max="6" width="13.33203125" style="54" customWidth="1"/>
    <col min="7" max="7" width="8.77734375" style="54"/>
    <col min="8" max="8" width="10.33203125" style="54" customWidth="1"/>
    <col min="9" max="9" width="8.77734375" style="54"/>
    <col min="10" max="10" width="3" style="54" customWidth="1"/>
    <col min="11" max="11" width="3" customWidth="1"/>
    <col min="12" max="12" width="37.21875" customWidth="1"/>
    <col min="13" max="13" width="11.77734375" customWidth="1"/>
    <col min="20" max="20" width="3" customWidth="1"/>
  </cols>
  <sheetData>
    <row r="1" spans="1:20" ht="15" thickBot="1" x14ac:dyDescent="0.35">
      <c r="A1" s="53"/>
      <c r="B1" s="53"/>
      <c r="C1" s="53"/>
      <c r="D1" s="53"/>
      <c r="E1" s="53"/>
      <c r="F1" s="53"/>
      <c r="G1" s="53"/>
      <c r="H1" s="53"/>
      <c r="I1" s="53"/>
      <c r="J1" s="53"/>
      <c r="K1" s="52"/>
      <c r="T1" s="52"/>
    </row>
    <row r="2" spans="1:20" ht="24" thickBot="1" x14ac:dyDescent="0.5">
      <c r="B2" s="598" t="s">
        <v>149</v>
      </c>
      <c r="C2" s="599"/>
      <c r="D2" s="599"/>
      <c r="E2" s="599"/>
      <c r="F2" s="599"/>
      <c r="G2" s="599"/>
      <c r="H2" s="599"/>
      <c r="I2" s="600"/>
      <c r="L2" s="553" t="s">
        <v>325</v>
      </c>
      <c r="M2" s="554"/>
      <c r="N2" s="554"/>
      <c r="O2" s="554"/>
      <c r="P2" s="554"/>
      <c r="Q2" s="554"/>
      <c r="R2" s="554"/>
      <c r="S2" s="555"/>
    </row>
    <row r="3" spans="1:20" ht="14.55" customHeight="1" x14ac:dyDescent="0.3">
      <c r="B3" s="606" t="s">
        <v>387</v>
      </c>
      <c r="C3" s="606"/>
      <c r="D3" s="606"/>
      <c r="E3" s="606"/>
      <c r="F3" s="606"/>
      <c r="G3" s="606"/>
      <c r="H3" s="606"/>
      <c r="I3" s="606"/>
      <c r="L3" s="46" t="s">
        <v>422</v>
      </c>
    </row>
    <row r="4" spans="1:20" x14ac:dyDescent="0.3">
      <c r="B4" s="607"/>
      <c r="C4" s="607"/>
      <c r="D4" s="607"/>
      <c r="E4" s="607"/>
      <c r="F4" s="607"/>
      <c r="G4" s="607"/>
      <c r="H4" s="607"/>
      <c r="I4" s="607"/>
      <c r="L4" s="46"/>
    </row>
    <row r="5" spans="1:20" s="160" customFormat="1" ht="14.55" customHeight="1" x14ac:dyDescent="0.3">
      <c r="A5" s="154"/>
      <c r="B5" s="605" t="s">
        <v>386</v>
      </c>
      <c r="C5" s="605"/>
      <c r="D5" s="605"/>
      <c r="E5" s="605"/>
      <c r="F5" s="605"/>
      <c r="G5" s="605"/>
      <c r="H5" s="605"/>
      <c r="I5" s="605"/>
      <c r="J5" s="154"/>
      <c r="L5" s="590" t="s">
        <v>385</v>
      </c>
      <c r="M5" s="590"/>
      <c r="N5" s="590"/>
      <c r="O5" s="590"/>
      <c r="P5"/>
      <c r="Q5"/>
      <c r="R5"/>
      <c r="S5"/>
    </row>
    <row r="6" spans="1:20" x14ac:dyDescent="0.3">
      <c r="B6" s="605"/>
      <c r="C6" s="605"/>
      <c r="D6" s="605"/>
      <c r="E6" s="605"/>
      <c r="F6" s="605"/>
      <c r="G6" s="605"/>
      <c r="H6" s="605"/>
      <c r="I6" s="605"/>
    </row>
    <row r="7" spans="1:20" x14ac:dyDescent="0.3">
      <c r="B7" s="155"/>
      <c r="L7" s="385" t="s">
        <v>326</v>
      </c>
      <c r="M7" s="603" t="s">
        <v>358</v>
      </c>
      <c r="N7" s="603"/>
      <c r="O7" s="603"/>
      <c r="P7" s="603"/>
      <c r="Q7" s="603"/>
      <c r="R7" s="603"/>
      <c r="S7" s="603"/>
    </row>
    <row r="8" spans="1:20" x14ac:dyDescent="0.3">
      <c r="B8" s="386" t="s">
        <v>345</v>
      </c>
      <c r="C8" s="478">
        <v>0.9</v>
      </c>
      <c r="E8" s="60" t="s">
        <v>152</v>
      </c>
      <c r="L8" s="410" t="s">
        <v>346</v>
      </c>
      <c r="M8" s="597"/>
      <c r="N8" s="597"/>
      <c r="O8" s="597"/>
      <c r="P8" s="597"/>
      <c r="Q8" s="597"/>
      <c r="R8" s="597"/>
      <c r="S8" s="597"/>
    </row>
    <row r="9" spans="1:20" x14ac:dyDescent="0.3">
      <c r="B9" s="386" t="s">
        <v>202</v>
      </c>
      <c r="C9" s="479">
        <f>1+0%</f>
        <v>1</v>
      </c>
      <c r="E9" s="60" t="s">
        <v>203</v>
      </c>
      <c r="L9" s="410" t="s">
        <v>347</v>
      </c>
      <c r="M9" s="597"/>
      <c r="N9" s="597"/>
      <c r="O9" s="597"/>
      <c r="P9" s="597"/>
      <c r="Q9" s="597"/>
      <c r="R9" s="597"/>
      <c r="S9" s="597"/>
    </row>
    <row r="10" spans="1:20" x14ac:dyDescent="0.3">
      <c r="B10" s="386" t="s">
        <v>272</v>
      </c>
      <c r="C10" s="480">
        <v>0.1</v>
      </c>
      <c r="E10" s="60" t="s">
        <v>342</v>
      </c>
      <c r="L10" s="410">
        <v>3.3</v>
      </c>
      <c r="M10" s="597"/>
      <c r="N10" s="597"/>
      <c r="O10" s="597"/>
      <c r="P10" s="597"/>
      <c r="Q10" s="597"/>
      <c r="R10" s="597"/>
      <c r="S10" s="597"/>
    </row>
    <row r="11" spans="1:20" ht="14.55" customHeight="1" x14ac:dyDescent="0.3">
      <c r="B11" s="386" t="s">
        <v>343</v>
      </c>
      <c r="C11" s="480">
        <v>0.3</v>
      </c>
      <c r="E11" s="60" t="s">
        <v>344</v>
      </c>
      <c r="L11" s="410" t="s">
        <v>348</v>
      </c>
      <c r="M11" s="597"/>
      <c r="N11" s="597"/>
      <c r="O11" s="597"/>
      <c r="P11" s="597"/>
      <c r="Q11" s="597"/>
      <c r="R11" s="597"/>
      <c r="S11" s="597"/>
    </row>
    <row r="12" spans="1:20" x14ac:dyDescent="0.3">
      <c r="B12" s="387"/>
      <c r="L12" s="411"/>
      <c r="M12" s="344"/>
      <c r="N12" s="344"/>
      <c r="O12" s="344"/>
      <c r="P12" s="344"/>
      <c r="Q12" s="344"/>
      <c r="R12" s="344"/>
      <c r="S12" s="344"/>
    </row>
    <row r="13" spans="1:20" x14ac:dyDescent="0.3">
      <c r="B13" s="388" t="s">
        <v>175</v>
      </c>
      <c r="C13" s="388"/>
      <c r="D13" s="388"/>
      <c r="E13" s="388"/>
      <c r="F13" s="388"/>
      <c r="G13" s="388"/>
      <c r="H13" s="388"/>
      <c r="L13" s="411"/>
      <c r="M13" s="344"/>
      <c r="N13" s="344"/>
      <c r="O13" s="344"/>
      <c r="P13" s="344"/>
      <c r="Q13" s="344"/>
      <c r="R13" s="344"/>
      <c r="S13" s="344"/>
    </row>
    <row r="14" spans="1:20" x14ac:dyDescent="0.3">
      <c r="L14" s="411"/>
      <c r="M14" s="344"/>
      <c r="N14" s="344"/>
      <c r="O14" s="344"/>
      <c r="P14" s="344"/>
      <c r="Q14" s="344"/>
      <c r="R14" s="344"/>
      <c r="S14" s="344"/>
    </row>
    <row r="15" spans="1:20" x14ac:dyDescent="0.3">
      <c r="B15" s="386" t="s">
        <v>182</v>
      </c>
      <c r="C15" s="481">
        <v>30</v>
      </c>
      <c r="D15" s="54" t="s">
        <v>28</v>
      </c>
      <c r="E15" s="240" t="s">
        <v>30</v>
      </c>
      <c r="F15" s="240"/>
      <c r="G15" s="240"/>
      <c r="H15" s="240"/>
      <c r="L15" s="410" t="s">
        <v>349</v>
      </c>
      <c r="M15" s="597"/>
      <c r="N15" s="597"/>
      <c r="O15" s="597"/>
      <c r="P15" s="597"/>
      <c r="Q15" s="597"/>
      <c r="R15" s="597"/>
      <c r="S15" s="597"/>
    </row>
    <row r="16" spans="1:20" x14ac:dyDescent="0.3">
      <c r="B16" s="386" t="s">
        <v>31</v>
      </c>
      <c r="C16" s="482">
        <v>0</v>
      </c>
      <c r="D16" s="54" t="s">
        <v>183</v>
      </c>
      <c r="E16" s="240" t="s">
        <v>41</v>
      </c>
      <c r="F16" s="240"/>
      <c r="G16" s="240"/>
      <c r="H16" s="240"/>
      <c r="L16" s="410" t="s">
        <v>349</v>
      </c>
      <c r="M16" s="597"/>
      <c r="N16" s="597"/>
      <c r="O16" s="597"/>
      <c r="P16" s="597"/>
      <c r="Q16" s="597"/>
      <c r="R16" s="597"/>
      <c r="S16" s="597"/>
    </row>
    <row r="17" spans="2:20" x14ac:dyDescent="0.3">
      <c r="B17" s="389" t="s">
        <v>324</v>
      </c>
      <c r="C17" s="483">
        <v>7.0000000000000007E-2</v>
      </c>
      <c r="D17" s="54" t="s">
        <v>183</v>
      </c>
      <c r="E17" s="240" t="s">
        <v>207</v>
      </c>
      <c r="F17" s="240"/>
      <c r="G17" s="240"/>
      <c r="H17" s="240"/>
      <c r="L17" s="410" t="s">
        <v>349</v>
      </c>
      <c r="M17" s="597"/>
      <c r="N17" s="597"/>
      <c r="O17" s="597"/>
      <c r="P17" s="597"/>
      <c r="Q17" s="597"/>
      <c r="R17" s="597"/>
      <c r="S17" s="597"/>
    </row>
    <row r="18" spans="2:20" x14ac:dyDescent="0.3">
      <c r="B18" s="386" t="s">
        <v>299</v>
      </c>
      <c r="C18" s="482">
        <f>C17-0.03</f>
        <v>4.0000000000000008E-2</v>
      </c>
      <c r="D18" s="54" t="s">
        <v>183</v>
      </c>
      <c r="E18" s="240" t="s">
        <v>207</v>
      </c>
      <c r="F18" s="240"/>
      <c r="G18" s="240"/>
      <c r="H18" s="240"/>
      <c r="L18" s="410" t="s">
        <v>349</v>
      </c>
      <c r="M18" s="597"/>
      <c r="N18" s="597"/>
      <c r="O18" s="597"/>
      <c r="P18" s="597"/>
      <c r="Q18" s="597"/>
      <c r="R18" s="597"/>
      <c r="S18" s="597"/>
    </row>
    <row r="19" spans="2:20" x14ac:dyDescent="0.3">
      <c r="B19" s="386" t="s">
        <v>300</v>
      </c>
      <c r="C19" s="482">
        <f>C17+0.03</f>
        <v>0.1</v>
      </c>
      <c r="D19" s="54" t="s">
        <v>183</v>
      </c>
      <c r="E19" s="240" t="s">
        <v>207</v>
      </c>
      <c r="F19" s="240"/>
      <c r="G19" s="240"/>
      <c r="H19" s="240"/>
      <c r="L19" s="410" t="s">
        <v>349</v>
      </c>
      <c r="M19" s="597"/>
      <c r="N19" s="597"/>
      <c r="O19" s="597"/>
      <c r="P19" s="597"/>
      <c r="Q19" s="597"/>
      <c r="R19" s="597"/>
      <c r="S19" s="597"/>
    </row>
    <row r="20" spans="2:20" x14ac:dyDescent="0.3">
      <c r="L20" s="411"/>
      <c r="M20" s="344"/>
      <c r="N20" s="344"/>
      <c r="O20" s="344"/>
      <c r="P20" s="344"/>
      <c r="Q20" s="344"/>
      <c r="R20" s="344"/>
      <c r="S20" s="344"/>
    </row>
    <row r="21" spans="2:20" x14ac:dyDescent="0.3">
      <c r="L21" s="411"/>
      <c r="M21" s="344"/>
      <c r="N21" s="344"/>
      <c r="O21" s="344"/>
      <c r="P21" s="344"/>
      <c r="Q21" s="344"/>
      <c r="R21" s="344"/>
      <c r="S21" s="344"/>
    </row>
    <row r="22" spans="2:20" x14ac:dyDescent="0.3">
      <c r="B22" s="388" t="s">
        <v>53</v>
      </c>
      <c r="C22" s="388"/>
      <c r="D22" s="388"/>
      <c r="E22" s="388"/>
      <c r="F22" s="388"/>
      <c r="G22" s="388"/>
      <c r="H22" s="388"/>
      <c r="L22" s="411"/>
      <c r="M22" s="344"/>
      <c r="N22" s="344"/>
      <c r="O22" s="344"/>
      <c r="P22" s="344"/>
      <c r="Q22" s="344"/>
      <c r="R22" s="344"/>
      <c r="S22" s="344"/>
    </row>
    <row r="23" spans="2:20" x14ac:dyDescent="0.3">
      <c r="B23" s="387"/>
      <c r="L23" s="411"/>
      <c r="M23" s="344"/>
      <c r="N23" s="344"/>
      <c r="O23" s="344"/>
      <c r="P23" s="344"/>
      <c r="Q23" s="344"/>
      <c r="R23" s="344"/>
      <c r="S23" s="344"/>
    </row>
    <row r="24" spans="2:20" ht="28.8" x14ac:dyDescent="0.3">
      <c r="B24" s="373" t="s">
        <v>231</v>
      </c>
      <c r="C24" s="327" t="s">
        <v>42</v>
      </c>
      <c r="D24" s="327" t="s">
        <v>43</v>
      </c>
      <c r="E24" s="327" t="s">
        <v>44</v>
      </c>
      <c r="F24" s="327" t="s">
        <v>308</v>
      </c>
      <c r="G24" s="327" t="s">
        <v>257</v>
      </c>
      <c r="H24" s="327" t="s">
        <v>137</v>
      </c>
      <c r="L24" s="410"/>
      <c r="M24" s="597"/>
      <c r="N24" s="597"/>
      <c r="O24" s="597"/>
      <c r="P24" s="597"/>
      <c r="Q24" s="597"/>
      <c r="R24" s="597"/>
      <c r="S24" s="597"/>
    </row>
    <row r="25" spans="2:20" x14ac:dyDescent="0.3">
      <c r="B25" s="328" t="s">
        <v>45</v>
      </c>
      <c r="C25" s="484">
        <v>2000</v>
      </c>
      <c r="D25" s="484">
        <v>2000</v>
      </c>
      <c r="E25" s="484">
        <v>2000</v>
      </c>
      <c r="F25" s="484">
        <v>2000</v>
      </c>
      <c r="G25" s="484">
        <v>2400</v>
      </c>
      <c r="H25" s="484">
        <v>2300</v>
      </c>
      <c r="L25" s="410" t="s">
        <v>351</v>
      </c>
      <c r="M25" s="597"/>
      <c r="N25" s="597"/>
      <c r="O25" s="597"/>
      <c r="P25" s="597"/>
      <c r="Q25" s="597"/>
      <c r="R25" s="597"/>
      <c r="S25" s="597"/>
    </row>
    <row r="26" spans="2:20" x14ac:dyDescent="0.3">
      <c r="B26" s="328" t="s">
        <v>46</v>
      </c>
      <c r="C26" s="484">
        <v>2300</v>
      </c>
      <c r="D26" s="484">
        <v>2300</v>
      </c>
      <c r="E26" s="484">
        <v>2300</v>
      </c>
      <c r="F26" s="484">
        <v>2300</v>
      </c>
      <c r="G26" s="484">
        <v>2400</v>
      </c>
      <c r="H26" s="484">
        <v>2300</v>
      </c>
      <c r="L26" s="410" t="s">
        <v>351</v>
      </c>
      <c r="M26" s="597"/>
      <c r="N26" s="597"/>
      <c r="O26" s="597"/>
      <c r="P26" s="597"/>
      <c r="Q26" s="597"/>
      <c r="R26" s="597"/>
      <c r="S26" s="597"/>
    </row>
    <row r="27" spans="2:20" ht="14.55" hidden="1" customHeight="1" x14ac:dyDescent="0.3">
      <c r="B27" s="390" t="s">
        <v>48</v>
      </c>
      <c r="C27" s="391"/>
      <c r="D27" s="391"/>
      <c r="E27" s="391"/>
      <c r="F27" s="391"/>
      <c r="G27" s="391"/>
      <c r="H27" s="391"/>
      <c r="L27" s="411"/>
      <c r="M27" s="344"/>
      <c r="N27" s="344"/>
      <c r="O27" s="344"/>
      <c r="P27" s="344"/>
      <c r="Q27" s="344"/>
      <c r="R27" s="344"/>
      <c r="S27" s="344"/>
    </row>
    <row r="28" spans="2:20" x14ac:dyDescent="0.3">
      <c r="B28" s="387"/>
      <c r="L28" s="411"/>
      <c r="M28" s="344"/>
      <c r="N28" s="344"/>
      <c r="O28" s="344"/>
      <c r="P28" s="344"/>
      <c r="Q28" s="344"/>
      <c r="R28" s="344"/>
      <c r="S28" s="344"/>
    </row>
    <row r="29" spans="2:20" ht="28.8" x14ac:dyDescent="0.3">
      <c r="B29" s="373" t="s">
        <v>232</v>
      </c>
      <c r="C29" s="384" t="s">
        <v>42</v>
      </c>
      <c r="D29" s="327" t="s">
        <v>43</v>
      </c>
      <c r="E29" s="327" t="s">
        <v>44</v>
      </c>
      <c r="F29" s="327" t="s">
        <v>308</v>
      </c>
      <c r="G29" s="327" t="s">
        <v>257</v>
      </c>
      <c r="H29" s="327" t="s">
        <v>137</v>
      </c>
      <c r="L29" s="410"/>
      <c r="M29" s="597"/>
      <c r="N29" s="597"/>
      <c r="O29" s="597"/>
      <c r="P29" s="597"/>
      <c r="Q29" s="597"/>
      <c r="R29" s="597"/>
      <c r="S29" s="597"/>
    </row>
    <row r="30" spans="2:20" ht="14.85" customHeight="1" x14ac:dyDescent="0.3">
      <c r="B30" s="328" t="str">
        <f>B25</f>
        <v>Detached Dwelling (Single Storey House)</v>
      </c>
      <c r="C30" s="485">
        <v>90</v>
      </c>
      <c r="D30" s="485">
        <v>180</v>
      </c>
      <c r="E30" s="485">
        <v>240</v>
      </c>
      <c r="F30" s="485">
        <v>220</v>
      </c>
      <c r="G30" s="485">
        <v>100</v>
      </c>
      <c r="H30" s="485">
        <v>160</v>
      </c>
      <c r="I30" s="392"/>
      <c r="J30" s="393"/>
      <c r="K30" s="47"/>
      <c r="L30" s="410" t="s">
        <v>351</v>
      </c>
      <c r="M30" s="597"/>
      <c r="N30" s="597"/>
      <c r="O30" s="597"/>
      <c r="P30" s="597"/>
      <c r="Q30" s="597"/>
      <c r="R30" s="597"/>
      <c r="S30" s="597"/>
      <c r="T30" s="47"/>
    </row>
    <row r="31" spans="2:20" x14ac:dyDescent="0.3">
      <c r="B31" s="328" t="str">
        <f>B26</f>
        <v>Detached Dwelling (Double Storey House)</v>
      </c>
      <c r="C31" s="485">
        <f>C30</f>
        <v>90</v>
      </c>
      <c r="D31" s="485">
        <f>D30</f>
        <v>180</v>
      </c>
      <c r="E31" s="485">
        <f>E30</f>
        <v>240</v>
      </c>
      <c r="F31" s="485">
        <f>F30</f>
        <v>220</v>
      </c>
      <c r="G31" s="485">
        <v>100</v>
      </c>
      <c r="H31" s="485">
        <v>160</v>
      </c>
      <c r="I31" s="392"/>
      <c r="J31" s="393"/>
      <c r="K31" s="47"/>
      <c r="L31" s="410" t="s">
        <v>351</v>
      </c>
      <c r="M31" s="597"/>
      <c r="N31" s="597"/>
      <c r="O31" s="597"/>
      <c r="P31" s="597"/>
      <c r="Q31" s="597"/>
      <c r="R31" s="597"/>
      <c r="S31" s="597"/>
      <c r="T31" s="47"/>
    </row>
    <row r="32" spans="2:20" x14ac:dyDescent="0.3">
      <c r="I32" s="392"/>
      <c r="J32" s="393"/>
      <c r="K32" s="47"/>
      <c r="L32" s="411"/>
      <c r="M32" s="344"/>
      <c r="N32" s="344"/>
      <c r="O32" s="344"/>
      <c r="P32" s="344"/>
      <c r="Q32" s="344"/>
      <c r="R32" s="344"/>
      <c r="S32" s="344"/>
      <c r="T32" s="47"/>
    </row>
    <row r="33" spans="2:20" ht="28.8" x14ac:dyDescent="0.3">
      <c r="B33" s="328" t="s">
        <v>232</v>
      </c>
      <c r="C33" s="327" t="s">
        <v>134</v>
      </c>
      <c r="D33" s="327" t="s">
        <v>129</v>
      </c>
      <c r="E33" s="327" t="s">
        <v>62</v>
      </c>
      <c r="F33" s="327" t="s">
        <v>131</v>
      </c>
      <c r="I33" s="392"/>
      <c r="J33" s="393"/>
      <c r="K33" s="47"/>
      <c r="L33" s="410"/>
      <c r="M33" s="597"/>
      <c r="N33" s="597"/>
      <c r="O33" s="597"/>
      <c r="P33" s="597"/>
      <c r="Q33" s="597"/>
      <c r="R33" s="597"/>
      <c r="S33" s="597"/>
      <c r="T33" s="47"/>
    </row>
    <row r="34" spans="2:20" x14ac:dyDescent="0.3">
      <c r="B34" s="328" t="s">
        <v>372</v>
      </c>
      <c r="C34" s="485">
        <f>E34</f>
        <v>418</v>
      </c>
      <c r="D34" s="485">
        <v>186</v>
      </c>
      <c r="E34" s="485">
        <v>418</v>
      </c>
      <c r="F34" s="485">
        <v>650</v>
      </c>
      <c r="I34" s="392"/>
      <c r="J34" s="393"/>
      <c r="K34" s="47"/>
      <c r="L34" s="410"/>
      <c r="M34" s="597"/>
      <c r="N34" s="597"/>
      <c r="O34" s="597"/>
      <c r="P34" s="597"/>
      <c r="Q34" s="597"/>
      <c r="R34" s="597"/>
      <c r="S34" s="597"/>
      <c r="T34" s="47"/>
    </row>
    <row r="35" spans="2:20" x14ac:dyDescent="0.3">
      <c r="B35" s="387"/>
      <c r="L35" s="411"/>
      <c r="M35" s="344"/>
      <c r="N35" s="344"/>
      <c r="O35" s="344"/>
      <c r="P35" s="344"/>
      <c r="Q35" s="344"/>
      <c r="R35" s="344"/>
      <c r="S35" s="344"/>
    </row>
    <row r="36" spans="2:20" x14ac:dyDescent="0.3">
      <c r="B36" s="388" t="s">
        <v>184</v>
      </c>
      <c r="C36" s="388"/>
      <c r="D36" s="388"/>
      <c r="E36" s="388"/>
      <c r="F36" s="388"/>
      <c r="G36" s="388"/>
      <c r="H36" s="388"/>
      <c r="L36" s="411"/>
      <c r="M36" s="344"/>
      <c r="N36" s="344"/>
      <c r="O36" s="344"/>
      <c r="P36" s="344"/>
      <c r="Q36" s="344"/>
      <c r="R36" s="344"/>
      <c r="S36" s="344"/>
    </row>
    <row r="37" spans="2:20" x14ac:dyDescent="0.3">
      <c r="B37" s="387"/>
      <c r="L37" s="411"/>
      <c r="M37" s="344"/>
      <c r="N37" s="344"/>
      <c r="O37" s="344"/>
      <c r="P37" s="344"/>
      <c r="Q37" s="344"/>
      <c r="R37" s="344"/>
      <c r="S37" s="344"/>
    </row>
    <row r="38" spans="2:20" x14ac:dyDescent="0.3">
      <c r="B38" s="394" t="s">
        <v>47</v>
      </c>
      <c r="C38" s="486">
        <v>490</v>
      </c>
      <c r="E38" s="60" t="s">
        <v>127</v>
      </c>
      <c r="L38" s="410" t="s">
        <v>346</v>
      </c>
      <c r="M38" s="597"/>
      <c r="N38" s="597"/>
      <c r="O38" s="597"/>
      <c r="P38" s="597"/>
      <c r="Q38" s="597"/>
      <c r="R38" s="597"/>
      <c r="S38" s="597"/>
    </row>
    <row r="39" spans="2:20" x14ac:dyDescent="0.3">
      <c r="B39" s="387"/>
      <c r="C39" s="60"/>
      <c r="L39" s="411"/>
      <c r="M39" s="344"/>
      <c r="N39" s="344"/>
      <c r="O39" s="344"/>
      <c r="P39" s="344"/>
      <c r="Q39" s="344"/>
      <c r="R39" s="344"/>
      <c r="S39" s="344"/>
    </row>
    <row r="40" spans="2:20" x14ac:dyDescent="0.3">
      <c r="B40" s="388" t="s">
        <v>56</v>
      </c>
      <c r="C40" s="388"/>
      <c r="D40" s="388"/>
      <c r="E40" s="388"/>
      <c r="F40" s="388"/>
      <c r="G40" s="388"/>
      <c r="H40" s="388"/>
      <c r="L40" s="411"/>
      <c r="M40" s="344"/>
      <c r="N40" s="344"/>
      <c r="O40" s="344"/>
      <c r="P40" s="344"/>
      <c r="Q40" s="344"/>
      <c r="R40" s="344"/>
      <c r="S40" s="344"/>
    </row>
    <row r="41" spans="2:20" x14ac:dyDescent="0.3">
      <c r="B41" s="387"/>
      <c r="L41" s="411"/>
      <c r="M41" s="344"/>
      <c r="N41" s="344"/>
      <c r="O41" s="344"/>
      <c r="P41" s="344"/>
      <c r="Q41" s="344"/>
      <c r="R41" s="344"/>
      <c r="S41" s="344"/>
    </row>
    <row r="42" spans="2:20" x14ac:dyDescent="0.3">
      <c r="B42" s="395" t="s">
        <v>115</v>
      </c>
      <c r="C42" s="487">
        <v>0.3</v>
      </c>
      <c r="E42" s="60" t="s">
        <v>370</v>
      </c>
      <c r="L42" s="410"/>
      <c r="M42" s="597"/>
      <c r="N42" s="597"/>
      <c r="O42" s="597"/>
      <c r="P42" s="597"/>
      <c r="Q42" s="597"/>
      <c r="R42" s="597"/>
      <c r="S42" s="597"/>
    </row>
    <row r="43" spans="2:20" x14ac:dyDescent="0.3">
      <c r="B43" s="396" t="s">
        <v>50</v>
      </c>
      <c r="C43" s="488">
        <v>15000</v>
      </c>
      <c r="E43" s="60" t="s">
        <v>51</v>
      </c>
      <c r="L43" s="410" t="s">
        <v>352</v>
      </c>
      <c r="M43" s="597"/>
      <c r="N43" s="597"/>
      <c r="O43" s="597"/>
      <c r="P43" s="597"/>
      <c r="Q43" s="597"/>
      <c r="R43" s="597"/>
      <c r="S43" s="597"/>
    </row>
    <row r="44" spans="2:20" x14ac:dyDescent="0.3">
      <c r="B44" s="387"/>
      <c r="L44" s="411"/>
      <c r="M44" s="344"/>
      <c r="N44" s="344"/>
      <c r="O44" s="344"/>
      <c r="P44" s="344"/>
      <c r="Q44" s="344"/>
      <c r="R44" s="344"/>
      <c r="S44" s="344"/>
    </row>
    <row r="45" spans="2:20" x14ac:dyDescent="0.3">
      <c r="B45" s="388" t="s">
        <v>280</v>
      </c>
      <c r="C45" s="388"/>
      <c r="D45" s="388"/>
      <c r="E45" s="388"/>
      <c r="F45" s="388"/>
      <c r="G45" s="388"/>
      <c r="H45" s="388"/>
      <c r="L45" s="411"/>
      <c r="M45" s="344"/>
      <c r="N45" s="344"/>
      <c r="O45" s="344"/>
      <c r="P45" s="344"/>
      <c r="Q45" s="344"/>
      <c r="R45" s="344"/>
      <c r="S45" s="344"/>
    </row>
    <row r="46" spans="2:20" x14ac:dyDescent="0.3">
      <c r="B46" s="387"/>
      <c r="L46" s="411"/>
      <c r="M46" s="344"/>
      <c r="N46" s="344"/>
      <c r="O46" s="344"/>
      <c r="P46" s="344"/>
      <c r="Q46" s="344"/>
      <c r="R46" s="344"/>
      <c r="S46" s="344"/>
    </row>
    <row r="47" spans="2:20" x14ac:dyDescent="0.3">
      <c r="B47" s="397" t="s">
        <v>278</v>
      </c>
      <c r="C47" s="489">
        <v>4000</v>
      </c>
      <c r="E47" s="60" t="s">
        <v>279</v>
      </c>
      <c r="L47" s="410" t="s">
        <v>353</v>
      </c>
      <c r="M47" s="597"/>
      <c r="N47" s="597"/>
      <c r="O47" s="597"/>
      <c r="P47" s="597"/>
      <c r="Q47" s="597"/>
      <c r="R47" s="597"/>
      <c r="S47" s="597"/>
    </row>
    <row r="48" spans="2:20" x14ac:dyDescent="0.3">
      <c r="B48" s="397" t="s">
        <v>371</v>
      </c>
      <c r="C48" s="490">
        <v>0.3</v>
      </c>
      <c r="E48" s="60" t="s">
        <v>292</v>
      </c>
      <c r="L48" s="410" t="s">
        <v>375</v>
      </c>
      <c r="M48" s="597"/>
      <c r="N48" s="597"/>
      <c r="O48" s="597"/>
      <c r="P48" s="597"/>
      <c r="Q48" s="597"/>
      <c r="R48" s="597"/>
      <c r="S48" s="597"/>
    </row>
    <row r="49" spans="2:19" x14ac:dyDescent="0.3">
      <c r="B49" s="387"/>
      <c r="L49" s="411"/>
      <c r="M49" s="344"/>
      <c r="N49" s="344"/>
      <c r="O49" s="344"/>
      <c r="P49" s="344"/>
      <c r="Q49" s="344"/>
      <c r="R49" s="344"/>
      <c r="S49" s="344"/>
    </row>
    <row r="50" spans="2:19" x14ac:dyDescent="0.3">
      <c r="B50" s="387"/>
      <c r="L50" s="411"/>
      <c r="M50" s="344"/>
      <c r="N50" s="344"/>
      <c r="O50" s="344"/>
      <c r="P50" s="344"/>
      <c r="Q50" s="344"/>
      <c r="R50" s="344"/>
      <c r="S50" s="344"/>
    </row>
    <row r="51" spans="2:19" x14ac:dyDescent="0.3">
      <c r="B51" s="388" t="s">
        <v>138</v>
      </c>
      <c r="C51" s="388"/>
      <c r="D51" s="388"/>
      <c r="E51" s="388"/>
      <c r="F51" s="388"/>
      <c r="G51" s="388"/>
      <c r="H51" s="388"/>
      <c r="L51" s="411"/>
      <c r="M51" s="344"/>
      <c r="N51" s="344"/>
      <c r="O51" s="344"/>
      <c r="P51" s="344"/>
      <c r="Q51" s="344"/>
      <c r="R51" s="344"/>
      <c r="S51" s="344"/>
    </row>
    <row r="52" spans="2:19" x14ac:dyDescent="0.3">
      <c r="L52" s="411"/>
      <c r="M52" s="344"/>
      <c r="N52" s="344"/>
      <c r="O52" s="344"/>
      <c r="P52" s="344"/>
      <c r="Q52" s="344"/>
      <c r="R52" s="344"/>
      <c r="S52" s="344"/>
    </row>
    <row r="53" spans="2:19" x14ac:dyDescent="0.3">
      <c r="B53" s="285" t="s">
        <v>327</v>
      </c>
      <c r="C53" s="491">
        <v>7752786</v>
      </c>
      <c r="E53" s="60" t="s">
        <v>331</v>
      </c>
      <c r="L53" s="410" t="s">
        <v>354</v>
      </c>
      <c r="M53" s="597"/>
      <c r="N53" s="597"/>
      <c r="O53" s="597"/>
      <c r="P53" s="597"/>
      <c r="Q53" s="597"/>
      <c r="R53" s="597"/>
      <c r="S53" s="597"/>
    </row>
    <row r="54" spans="2:19" x14ac:dyDescent="0.3">
      <c r="B54" s="389" t="s">
        <v>328</v>
      </c>
      <c r="C54" s="491">
        <v>77472</v>
      </c>
      <c r="E54" s="60" t="s">
        <v>331</v>
      </c>
      <c r="L54" s="410" t="s">
        <v>354</v>
      </c>
      <c r="M54" s="597"/>
      <c r="N54" s="597"/>
      <c r="O54" s="597"/>
      <c r="P54" s="597"/>
      <c r="Q54" s="597"/>
      <c r="R54" s="597"/>
      <c r="S54" s="597"/>
    </row>
    <row r="55" spans="2:19" x14ac:dyDescent="0.3">
      <c r="B55" s="398" t="s">
        <v>329</v>
      </c>
      <c r="C55" s="492">
        <v>2.6</v>
      </c>
      <c r="E55" s="60" t="s">
        <v>330</v>
      </c>
      <c r="L55" s="410" t="s">
        <v>355</v>
      </c>
      <c r="M55" s="597"/>
      <c r="N55" s="597"/>
      <c r="O55" s="597"/>
      <c r="P55" s="597"/>
      <c r="Q55" s="597"/>
      <c r="R55" s="597"/>
      <c r="S55" s="597"/>
    </row>
    <row r="56" spans="2:19" x14ac:dyDescent="0.3">
      <c r="B56" s="387"/>
      <c r="L56" s="411"/>
      <c r="M56" s="344"/>
      <c r="N56" s="344"/>
      <c r="O56" s="344"/>
      <c r="P56" s="344"/>
      <c r="Q56" s="344"/>
      <c r="R56" s="344"/>
      <c r="S56" s="344"/>
    </row>
    <row r="57" spans="2:19" ht="15" thickBot="1" x14ac:dyDescent="0.35">
      <c r="B57" s="71" t="s">
        <v>139</v>
      </c>
      <c r="C57" s="54" t="s">
        <v>160</v>
      </c>
      <c r="H57"/>
      <c r="L57" s="411"/>
      <c r="M57" s="344"/>
      <c r="N57" s="344"/>
      <c r="O57" s="344"/>
      <c r="P57" s="344"/>
      <c r="Q57" s="344"/>
      <c r="R57" s="344"/>
      <c r="S57" s="344"/>
    </row>
    <row r="58" spans="2:19" ht="15" thickBot="1" x14ac:dyDescent="0.35">
      <c r="B58" s="243" t="s">
        <v>140</v>
      </c>
      <c r="C58" s="244">
        <v>1</v>
      </c>
      <c r="D58" s="244">
        <v>2</v>
      </c>
      <c r="E58" s="244">
        <v>3</v>
      </c>
      <c r="F58" s="244">
        <v>4</v>
      </c>
      <c r="G58" s="244">
        <v>5</v>
      </c>
      <c r="H58" s="245">
        <v>6</v>
      </c>
      <c r="L58" s="411"/>
      <c r="M58" s="344"/>
      <c r="N58" s="344"/>
      <c r="O58" s="344"/>
      <c r="P58" s="344"/>
      <c r="Q58" s="344"/>
      <c r="R58" s="344"/>
      <c r="S58" s="344"/>
    </row>
    <row r="59" spans="2:19" ht="15" thickBot="1" x14ac:dyDescent="0.35">
      <c r="B59" s="242" t="str">
        <f>B57</f>
        <v>Hazard Rating (HR)</v>
      </c>
      <c r="C59" s="496">
        <v>0</v>
      </c>
      <c r="D59" s="496">
        <v>0</v>
      </c>
      <c r="E59" s="497">
        <v>0.3</v>
      </c>
      <c r="F59" s="497">
        <v>0.8</v>
      </c>
      <c r="G59" s="497">
        <v>2.8</v>
      </c>
      <c r="H59" s="498">
        <v>4</v>
      </c>
      <c r="L59" s="410" t="s">
        <v>355</v>
      </c>
      <c r="M59" s="597"/>
      <c r="N59" s="597"/>
      <c r="O59" s="597"/>
      <c r="P59" s="597"/>
      <c r="Q59" s="597"/>
      <c r="R59" s="597"/>
      <c r="S59" s="597"/>
    </row>
    <row r="60" spans="2:19" ht="15" thickBot="1" x14ac:dyDescent="0.35">
      <c r="B60" s="246"/>
      <c r="C60" s="247"/>
      <c r="D60" s="247"/>
      <c r="E60" s="248"/>
      <c r="F60" s="248"/>
      <c r="G60" s="248"/>
      <c r="H60" s="248"/>
      <c r="L60" s="411"/>
      <c r="M60" s="344"/>
      <c r="N60" s="344"/>
      <c r="O60" s="344"/>
      <c r="P60" s="344"/>
      <c r="Q60" s="344"/>
      <c r="R60" s="344"/>
      <c r="S60" s="344"/>
    </row>
    <row r="61" spans="2:19" ht="15" thickBot="1" x14ac:dyDescent="0.35">
      <c r="B61" s="387"/>
      <c r="F61" s="249">
        <v>1</v>
      </c>
      <c r="G61" s="250">
        <v>2</v>
      </c>
      <c r="H61" s="251">
        <v>3</v>
      </c>
      <c r="L61" s="411"/>
      <c r="M61" s="344"/>
      <c r="N61" s="344"/>
      <c r="O61" s="344"/>
      <c r="P61" s="344"/>
      <c r="Q61" s="344"/>
      <c r="R61" s="344"/>
      <c r="S61" s="344"/>
    </row>
    <row r="62" spans="2:19" ht="31.2" thickBot="1" x14ac:dyDescent="0.35">
      <c r="B62" s="266" t="s">
        <v>155</v>
      </c>
      <c r="C62" s="493">
        <v>1</v>
      </c>
      <c r="D62" s="60" t="s">
        <v>156</v>
      </c>
      <c r="F62" s="252" t="s">
        <v>186</v>
      </c>
      <c r="G62" s="253" t="s">
        <v>187</v>
      </c>
      <c r="H62" s="254" t="s">
        <v>188</v>
      </c>
      <c r="I62"/>
      <c r="L62" s="410" t="s">
        <v>355</v>
      </c>
      <c r="M62" s="597"/>
      <c r="N62" s="597"/>
      <c r="O62" s="597"/>
      <c r="P62" s="597"/>
      <c r="Q62" s="597"/>
      <c r="R62" s="597"/>
      <c r="S62" s="597"/>
    </row>
    <row r="63" spans="2:19" ht="31.2" thickBot="1" x14ac:dyDescent="0.35">
      <c r="B63" s="267" t="s">
        <v>332</v>
      </c>
      <c r="C63" s="494">
        <v>2</v>
      </c>
      <c r="D63" s="60" t="s">
        <v>156</v>
      </c>
      <c r="F63" s="255" t="s">
        <v>189</v>
      </c>
      <c r="G63" s="256" t="s">
        <v>190</v>
      </c>
      <c r="H63" s="257" t="s">
        <v>191</v>
      </c>
      <c r="I63"/>
      <c r="L63" s="410" t="s">
        <v>355</v>
      </c>
      <c r="M63" s="597"/>
      <c r="N63" s="597"/>
      <c r="O63" s="597"/>
      <c r="P63" s="597"/>
      <c r="Q63" s="597"/>
      <c r="R63" s="597"/>
      <c r="S63" s="597"/>
    </row>
    <row r="64" spans="2:19" x14ac:dyDescent="0.3">
      <c r="I64"/>
      <c r="L64" s="411"/>
      <c r="M64" s="344"/>
      <c r="N64" s="344"/>
      <c r="O64" s="344"/>
      <c r="P64" s="344"/>
      <c r="Q64" s="344"/>
      <c r="R64" s="344"/>
      <c r="S64" s="344"/>
    </row>
    <row r="65" spans="2:19" ht="15" thickBot="1" x14ac:dyDescent="0.35">
      <c r="B65" s="397" t="s">
        <v>49</v>
      </c>
      <c r="C65" s="495">
        <v>6</v>
      </c>
      <c r="I65"/>
      <c r="L65" s="410" t="s">
        <v>349</v>
      </c>
      <c r="M65" s="597"/>
      <c r="N65" s="597"/>
      <c r="O65" s="597"/>
      <c r="P65" s="597"/>
      <c r="Q65" s="597"/>
      <c r="R65" s="597"/>
      <c r="S65" s="597"/>
    </row>
    <row r="66" spans="2:19" ht="15" thickBot="1" x14ac:dyDescent="0.35">
      <c r="B66" s="387"/>
      <c r="F66" s="249">
        <v>0</v>
      </c>
      <c r="G66" s="250">
        <v>0.5</v>
      </c>
      <c r="H66" s="251">
        <v>1</v>
      </c>
      <c r="I66"/>
      <c r="L66" s="411"/>
      <c r="M66" s="344"/>
      <c r="N66" s="344"/>
      <c r="O66" s="344"/>
      <c r="P66" s="344"/>
      <c r="Q66" s="344"/>
      <c r="R66" s="344"/>
      <c r="S66" s="344"/>
    </row>
    <row r="67" spans="2:19" ht="72" thickBot="1" x14ac:dyDescent="0.35">
      <c r="B67" s="266" t="s">
        <v>157</v>
      </c>
      <c r="C67" s="499">
        <v>1</v>
      </c>
      <c r="D67" s="60" t="s">
        <v>199</v>
      </c>
      <c r="F67" s="252" t="s">
        <v>192</v>
      </c>
      <c r="G67" s="253" t="s">
        <v>193</v>
      </c>
      <c r="H67" s="254" t="s">
        <v>194</v>
      </c>
      <c r="I67"/>
      <c r="L67" s="410" t="s">
        <v>355</v>
      </c>
      <c r="M67" s="597"/>
      <c r="N67" s="597"/>
      <c r="O67" s="597"/>
      <c r="P67" s="597"/>
      <c r="Q67" s="597"/>
      <c r="R67" s="597"/>
      <c r="S67" s="597"/>
    </row>
    <row r="68" spans="2:19" ht="36" customHeight="1" thickBot="1" x14ac:dyDescent="0.35">
      <c r="B68" s="268" t="s">
        <v>158</v>
      </c>
      <c r="C68" s="500">
        <f>IF(Warning_Time&gt;2,1,0)</f>
        <v>1</v>
      </c>
      <c r="D68" s="60" t="s">
        <v>333</v>
      </c>
      <c r="F68" s="258" t="s">
        <v>195</v>
      </c>
      <c r="G68" s="259"/>
      <c r="H68" s="260" t="s">
        <v>196</v>
      </c>
      <c r="I68"/>
      <c r="L68" s="410" t="s">
        <v>355</v>
      </c>
      <c r="M68" s="597"/>
      <c r="N68" s="597"/>
      <c r="O68" s="597"/>
      <c r="P68" s="597"/>
      <c r="Q68" s="597"/>
      <c r="R68" s="597"/>
      <c r="S68" s="597"/>
    </row>
    <row r="69" spans="2:19" ht="51.6" thickBot="1" x14ac:dyDescent="0.35">
      <c r="B69" s="267" t="s">
        <v>159</v>
      </c>
      <c r="C69" s="501">
        <v>0</v>
      </c>
      <c r="D69" s="60" t="s">
        <v>333</v>
      </c>
      <c r="F69" s="261" t="s">
        <v>197</v>
      </c>
      <c r="G69" s="253"/>
      <c r="H69" s="254" t="s">
        <v>198</v>
      </c>
      <c r="I69"/>
      <c r="L69" s="410" t="s">
        <v>355</v>
      </c>
      <c r="M69" s="597"/>
      <c r="N69" s="597"/>
      <c r="O69" s="597"/>
      <c r="P69" s="597"/>
      <c r="Q69" s="597"/>
      <c r="R69" s="597"/>
      <c r="S69" s="597"/>
    </row>
    <row r="70" spans="2:19" ht="15" thickBot="1" x14ac:dyDescent="0.35">
      <c r="B70" s="387"/>
      <c r="I70"/>
      <c r="L70" s="411"/>
      <c r="M70" s="344"/>
      <c r="N70" s="344"/>
      <c r="O70" s="344"/>
      <c r="P70" s="344"/>
      <c r="Q70" s="344"/>
      <c r="R70" s="344"/>
      <c r="S70" s="344"/>
    </row>
    <row r="71" spans="2:19" ht="15" thickBot="1" x14ac:dyDescent="0.35">
      <c r="B71" s="262" t="s">
        <v>350</v>
      </c>
      <c r="C71" s="502">
        <f>3-(Inputs!C67*(Inputs!C68+Inputs!C69))</f>
        <v>2</v>
      </c>
      <c r="D71"/>
      <c r="E71" s="60" t="s">
        <v>200</v>
      </c>
      <c r="I71"/>
      <c r="L71" s="410" t="s">
        <v>355</v>
      </c>
      <c r="M71" s="597"/>
      <c r="N71" s="597"/>
      <c r="O71" s="597"/>
      <c r="P71" s="597"/>
      <c r="Q71" s="597"/>
      <c r="R71" s="597"/>
      <c r="S71" s="597"/>
    </row>
    <row r="72" spans="2:19" ht="15" thickBot="1" x14ac:dyDescent="0.35">
      <c r="B72" s="387"/>
      <c r="I72"/>
      <c r="L72" s="411"/>
      <c r="M72" s="344"/>
      <c r="N72" s="344"/>
      <c r="O72" s="344"/>
      <c r="P72" s="344"/>
      <c r="Q72" s="344"/>
      <c r="R72" s="344"/>
      <c r="S72" s="344"/>
    </row>
    <row r="73" spans="2:19" ht="36.6" customHeight="1" x14ac:dyDescent="0.3">
      <c r="B73" s="238" t="s">
        <v>143</v>
      </c>
      <c r="C73" s="503">
        <f>SUM(C62,C63,C71)</f>
        <v>5</v>
      </c>
      <c r="E73" s="602" t="s">
        <v>154</v>
      </c>
      <c r="F73" s="602"/>
      <c r="G73" s="602"/>
      <c r="H73" s="602"/>
      <c r="I73"/>
      <c r="L73" s="410" t="s">
        <v>355</v>
      </c>
      <c r="M73" s="597"/>
      <c r="N73" s="597"/>
      <c r="O73" s="597"/>
      <c r="P73" s="597"/>
      <c r="Q73" s="597"/>
      <c r="R73" s="597"/>
      <c r="S73" s="597"/>
    </row>
    <row r="74" spans="2:19" ht="36.6" customHeight="1" thickBot="1" x14ac:dyDescent="0.35">
      <c r="B74" s="239" t="s">
        <v>144</v>
      </c>
      <c r="C74" s="504">
        <f>(1.1%+2.2%+3.3%)+17.7%</f>
        <v>0.24299999999999999</v>
      </c>
      <c r="E74" s="601" t="s">
        <v>356</v>
      </c>
      <c r="F74" s="601"/>
      <c r="G74" s="601"/>
      <c r="H74" s="601"/>
      <c r="I74"/>
      <c r="L74" s="410" t="s">
        <v>355</v>
      </c>
      <c r="M74" s="597" t="s">
        <v>357</v>
      </c>
      <c r="N74" s="597"/>
      <c r="O74" s="597"/>
      <c r="P74" s="597"/>
      <c r="Q74" s="597"/>
      <c r="R74" s="597"/>
      <c r="S74" s="597"/>
    </row>
    <row r="75" spans="2:19" x14ac:dyDescent="0.3">
      <c r="B75" s="399" t="s">
        <v>298</v>
      </c>
      <c r="L75" s="412"/>
      <c r="M75" s="344"/>
      <c r="N75" s="344"/>
      <c r="O75" s="344"/>
      <c r="P75" s="344"/>
      <c r="Q75" s="344"/>
      <c r="R75" s="344"/>
      <c r="S75" s="344"/>
    </row>
    <row r="76" spans="2:19" x14ac:dyDescent="0.3">
      <c r="L76" s="412"/>
      <c r="M76" s="344"/>
      <c r="N76" s="344"/>
      <c r="O76" s="344"/>
      <c r="P76" s="344"/>
      <c r="Q76" s="344"/>
      <c r="R76" s="344"/>
      <c r="S76" s="344"/>
    </row>
    <row r="77" spans="2:19" x14ac:dyDescent="0.3">
      <c r="L77" s="412"/>
      <c r="M77" s="344"/>
      <c r="N77" s="344"/>
      <c r="O77" s="344"/>
      <c r="P77" s="344"/>
      <c r="Q77" s="344"/>
      <c r="R77" s="344"/>
      <c r="S77" s="344"/>
    </row>
    <row r="78" spans="2:19" x14ac:dyDescent="0.3">
      <c r="L78" s="412"/>
      <c r="M78" s="344"/>
      <c r="N78" s="344"/>
      <c r="O78" s="344"/>
      <c r="P78" s="344"/>
      <c r="Q78" s="344"/>
      <c r="R78" s="344"/>
      <c r="S78" s="344"/>
    </row>
    <row r="79" spans="2:19" x14ac:dyDescent="0.3">
      <c r="L79" s="412"/>
      <c r="M79" s="344"/>
      <c r="N79" s="344"/>
      <c r="O79" s="344"/>
      <c r="P79" s="344"/>
      <c r="Q79" s="344"/>
      <c r="R79" s="344"/>
      <c r="S79" s="344"/>
    </row>
    <row r="80" spans="2:19" x14ac:dyDescent="0.3">
      <c r="L80" s="412"/>
      <c r="M80" s="344"/>
      <c r="N80" s="344"/>
      <c r="O80" s="344"/>
      <c r="P80" s="344"/>
      <c r="Q80" s="344"/>
      <c r="R80" s="344"/>
      <c r="S80" s="344"/>
    </row>
    <row r="81" spans="2:19" x14ac:dyDescent="0.3">
      <c r="L81" s="412"/>
      <c r="M81" s="344"/>
      <c r="N81" s="344"/>
      <c r="O81" s="344"/>
      <c r="P81" s="344"/>
      <c r="Q81" s="344"/>
      <c r="R81" s="344"/>
      <c r="S81" s="344"/>
    </row>
    <row r="82" spans="2:19" x14ac:dyDescent="0.3">
      <c r="L82" s="412"/>
      <c r="M82" s="344"/>
      <c r="N82" s="344"/>
      <c r="O82" s="344"/>
      <c r="P82" s="344"/>
      <c r="Q82" s="344"/>
      <c r="R82" s="344"/>
      <c r="S82" s="344"/>
    </row>
    <row r="83" spans="2:19" x14ac:dyDescent="0.3">
      <c r="L83" s="412"/>
      <c r="M83" s="344"/>
      <c r="N83" s="344"/>
      <c r="O83" s="344"/>
      <c r="P83" s="344"/>
      <c r="Q83" s="344"/>
      <c r="R83" s="344"/>
      <c r="S83" s="344"/>
    </row>
    <row r="84" spans="2:19" x14ac:dyDescent="0.3">
      <c r="L84" s="412"/>
      <c r="M84" s="344"/>
      <c r="N84" s="344"/>
      <c r="O84" s="344"/>
      <c r="P84" s="344"/>
      <c r="Q84" s="344"/>
      <c r="R84" s="344"/>
      <c r="S84" s="344"/>
    </row>
    <row r="85" spans="2:19" x14ac:dyDescent="0.3">
      <c r="L85" s="412"/>
      <c r="M85" s="344"/>
      <c r="N85" s="344"/>
      <c r="O85" s="344"/>
      <c r="P85" s="344"/>
      <c r="Q85" s="344"/>
      <c r="R85" s="344"/>
      <c r="S85" s="344"/>
    </row>
    <row r="86" spans="2:19" x14ac:dyDescent="0.3">
      <c r="L86" s="412"/>
      <c r="M86" s="344"/>
      <c r="N86" s="344"/>
      <c r="O86" s="344"/>
      <c r="P86" s="344"/>
      <c r="Q86" s="344"/>
      <c r="R86" s="344"/>
      <c r="S86" s="344"/>
    </row>
    <row r="87" spans="2:19" x14ac:dyDescent="0.3">
      <c r="B87" s="387"/>
      <c r="L87" s="412"/>
      <c r="M87" s="344"/>
      <c r="N87" s="344"/>
      <c r="O87" s="344"/>
      <c r="P87" s="344"/>
      <c r="Q87" s="344"/>
      <c r="R87" s="344"/>
      <c r="S87" s="344"/>
    </row>
    <row r="88" spans="2:19" x14ac:dyDescent="0.3">
      <c r="B88" s="387"/>
      <c r="L88" s="412"/>
      <c r="M88" s="344"/>
      <c r="N88" s="344"/>
      <c r="O88" s="344"/>
      <c r="P88" s="344"/>
      <c r="Q88" s="344"/>
      <c r="R88" s="344"/>
      <c r="S88" s="344"/>
    </row>
    <row r="89" spans="2:19" x14ac:dyDescent="0.3">
      <c r="B89" s="387"/>
      <c r="L89" s="412"/>
      <c r="M89" s="344"/>
      <c r="N89" s="344"/>
      <c r="O89" s="344"/>
      <c r="P89" s="344"/>
      <c r="Q89" s="344"/>
      <c r="R89" s="344"/>
      <c r="S89" s="344"/>
    </row>
    <row r="90" spans="2:19" x14ac:dyDescent="0.3">
      <c r="B90" s="387"/>
      <c r="L90" s="412"/>
      <c r="M90" s="344"/>
      <c r="N90" s="344"/>
      <c r="O90" s="344"/>
      <c r="P90" s="344"/>
      <c r="Q90" s="344"/>
      <c r="R90" s="344"/>
      <c r="S90" s="344"/>
    </row>
    <row r="91" spans="2:19" x14ac:dyDescent="0.3">
      <c r="B91" s="387"/>
      <c r="L91" s="412"/>
      <c r="M91" s="344"/>
      <c r="N91" s="344"/>
      <c r="O91" s="344"/>
      <c r="P91" s="344"/>
      <c r="Q91" s="344"/>
      <c r="R91" s="344"/>
      <c r="S91" s="344"/>
    </row>
    <row r="92" spans="2:19" x14ac:dyDescent="0.3">
      <c r="B92" s="387"/>
      <c r="L92" s="412"/>
      <c r="M92" s="344"/>
      <c r="N92" s="344"/>
      <c r="O92" s="344"/>
      <c r="P92" s="344"/>
      <c r="Q92" s="344"/>
      <c r="R92" s="344"/>
      <c r="S92" s="344"/>
    </row>
    <row r="93" spans="2:19" x14ac:dyDescent="0.3">
      <c r="B93" s="387"/>
      <c r="L93" s="412"/>
      <c r="M93" s="344"/>
      <c r="N93" s="344"/>
      <c r="O93" s="344"/>
      <c r="P93" s="344"/>
      <c r="Q93" s="344"/>
      <c r="R93" s="344"/>
      <c r="S93" s="344"/>
    </row>
    <row r="94" spans="2:19" x14ac:dyDescent="0.3">
      <c r="B94" s="387"/>
      <c r="L94" s="412"/>
      <c r="M94" s="344"/>
      <c r="N94" s="344"/>
      <c r="O94" s="344"/>
      <c r="P94" s="344"/>
      <c r="Q94" s="344"/>
      <c r="R94" s="344"/>
      <c r="S94" s="344"/>
    </row>
    <row r="95" spans="2:19" x14ac:dyDescent="0.3">
      <c r="B95" s="387"/>
      <c r="L95" s="412"/>
      <c r="M95" s="344"/>
      <c r="N95" s="344"/>
      <c r="O95" s="344"/>
      <c r="P95" s="344"/>
      <c r="Q95" s="344"/>
      <c r="R95" s="344"/>
      <c r="S95" s="344"/>
    </row>
    <row r="96" spans="2:19" x14ac:dyDescent="0.3">
      <c r="B96" s="388" t="s">
        <v>258</v>
      </c>
      <c r="C96" s="388"/>
      <c r="D96" s="388"/>
      <c r="E96" s="388"/>
      <c r="F96" s="388"/>
      <c r="G96" s="388"/>
      <c r="H96" s="388"/>
      <c r="I96"/>
      <c r="L96" s="412"/>
      <c r="M96" s="344"/>
      <c r="N96" s="344"/>
      <c r="O96" s="344"/>
      <c r="P96" s="344"/>
      <c r="Q96" s="344"/>
      <c r="R96" s="344"/>
      <c r="S96" s="344"/>
    </row>
    <row r="97" spans="2:19" x14ac:dyDescent="0.3">
      <c r="B97" s="175" t="s">
        <v>262</v>
      </c>
      <c r="L97" s="412"/>
      <c r="M97" s="344"/>
      <c r="N97" s="344"/>
      <c r="O97" s="344"/>
      <c r="P97" s="344"/>
      <c r="Q97" s="344"/>
      <c r="R97" s="344"/>
      <c r="S97" s="344"/>
    </row>
    <row r="98" spans="2:19" ht="15" thickBot="1" x14ac:dyDescent="0.35">
      <c r="L98" s="412"/>
      <c r="M98" s="344"/>
      <c r="N98" s="344"/>
      <c r="O98" s="344"/>
      <c r="P98" s="344"/>
      <c r="Q98" s="344"/>
      <c r="R98" s="344"/>
      <c r="S98" s="344"/>
    </row>
    <row r="99" spans="2:19" ht="55.8" thickBot="1" x14ac:dyDescent="0.35">
      <c r="C99" s="249" t="s">
        <v>259</v>
      </c>
      <c r="D99" s="250" t="s">
        <v>260</v>
      </c>
      <c r="E99" s="251" t="s">
        <v>261</v>
      </c>
      <c r="L99" s="410" t="s">
        <v>359</v>
      </c>
      <c r="M99" s="604"/>
      <c r="N99" s="604"/>
      <c r="O99" s="604"/>
      <c r="P99" s="604"/>
      <c r="Q99" s="604"/>
      <c r="R99" s="604"/>
      <c r="S99" s="604"/>
    </row>
    <row r="100" spans="2:19" ht="15" thickBot="1" x14ac:dyDescent="0.35">
      <c r="C100" s="302" t="s">
        <v>73</v>
      </c>
      <c r="D100" s="307">
        <v>1.0000000000000001E-5</v>
      </c>
      <c r="E100" s="330">
        <v>0</v>
      </c>
      <c r="L100" s="410"/>
      <c r="M100" s="604"/>
      <c r="N100" s="604"/>
      <c r="O100" s="604"/>
      <c r="P100" s="604"/>
      <c r="Q100" s="604"/>
      <c r="R100" s="604"/>
      <c r="S100" s="604"/>
    </row>
    <row r="101" spans="2:19" ht="15" thickBot="1" x14ac:dyDescent="0.35">
      <c r="C101" s="303">
        <v>500</v>
      </c>
      <c r="D101" s="308">
        <v>2E-3</v>
      </c>
      <c r="E101" s="331">
        <v>0</v>
      </c>
      <c r="L101" s="410"/>
      <c r="M101" s="604"/>
      <c r="N101" s="604"/>
      <c r="O101" s="604"/>
      <c r="P101" s="604"/>
      <c r="Q101" s="604"/>
      <c r="R101" s="604"/>
      <c r="S101" s="604"/>
    </row>
    <row r="102" spans="2:19" ht="15" thickBot="1" x14ac:dyDescent="0.35">
      <c r="C102" s="302">
        <v>200</v>
      </c>
      <c r="D102" s="309">
        <v>5.0000000000000001E-3</v>
      </c>
      <c r="E102" s="330">
        <v>0</v>
      </c>
      <c r="L102" s="410"/>
      <c r="M102" s="604"/>
      <c r="N102" s="604"/>
      <c r="O102" s="604"/>
      <c r="P102" s="604"/>
      <c r="Q102" s="604"/>
      <c r="R102" s="604"/>
      <c r="S102" s="604"/>
    </row>
    <row r="103" spans="2:19" ht="15" thickBot="1" x14ac:dyDescent="0.35">
      <c r="C103" s="303">
        <v>100</v>
      </c>
      <c r="D103" s="305">
        <v>0.01</v>
      </c>
      <c r="E103" s="331">
        <v>48.51</v>
      </c>
      <c r="L103" s="410"/>
      <c r="M103" s="604"/>
      <c r="N103" s="604"/>
      <c r="O103" s="604"/>
      <c r="P103" s="604"/>
      <c r="Q103" s="604"/>
      <c r="R103" s="604"/>
      <c r="S103" s="604"/>
    </row>
    <row r="104" spans="2:19" ht="15" thickBot="1" x14ac:dyDescent="0.35">
      <c r="C104" s="302">
        <v>50</v>
      </c>
      <c r="D104" s="304">
        <v>0.02</v>
      </c>
      <c r="E104" s="330">
        <v>390.74</v>
      </c>
      <c r="L104" s="410"/>
      <c r="M104" s="604"/>
      <c r="N104" s="604"/>
      <c r="O104" s="604"/>
      <c r="P104" s="604"/>
      <c r="Q104" s="604"/>
      <c r="R104" s="604"/>
      <c r="S104" s="604"/>
    </row>
    <row r="105" spans="2:19" ht="15" thickBot="1" x14ac:dyDescent="0.35">
      <c r="C105" s="303">
        <v>20</v>
      </c>
      <c r="D105" s="305">
        <v>0.05</v>
      </c>
      <c r="E105" s="331">
        <v>555.11</v>
      </c>
      <c r="L105" s="410"/>
      <c r="M105" s="604"/>
      <c r="N105" s="604"/>
      <c r="O105" s="604"/>
      <c r="P105" s="604"/>
      <c r="Q105" s="604"/>
      <c r="R105" s="604"/>
      <c r="S105" s="604"/>
    </row>
    <row r="106" spans="2:19" ht="15" thickBot="1" x14ac:dyDescent="0.35">
      <c r="C106" s="302">
        <v>10</v>
      </c>
      <c r="D106" s="304">
        <v>0.1</v>
      </c>
      <c r="E106" s="330">
        <v>573.98</v>
      </c>
      <c r="L106" s="410"/>
      <c r="M106" s="604"/>
      <c r="N106" s="604"/>
      <c r="O106" s="604"/>
      <c r="P106" s="604"/>
      <c r="Q106" s="604"/>
      <c r="R106" s="604"/>
      <c r="S106" s="604"/>
    </row>
    <row r="107" spans="2:19" ht="15" thickBot="1" x14ac:dyDescent="0.35">
      <c r="C107" s="303">
        <v>5</v>
      </c>
      <c r="D107" s="305">
        <v>0.2</v>
      </c>
      <c r="E107" s="331">
        <v>575.47</v>
      </c>
      <c r="L107" s="410"/>
      <c r="M107" s="604"/>
      <c r="N107" s="604"/>
      <c r="O107" s="604"/>
      <c r="P107" s="604"/>
      <c r="Q107" s="604"/>
      <c r="R107" s="604"/>
      <c r="S107" s="604"/>
    </row>
    <row r="108" spans="2:19" ht="15" thickBot="1" x14ac:dyDescent="0.35">
      <c r="C108" s="302">
        <v>2</v>
      </c>
      <c r="D108" s="304">
        <v>0.5</v>
      </c>
      <c r="E108" s="330">
        <v>579.97</v>
      </c>
      <c r="L108" s="410"/>
      <c r="M108" s="604"/>
      <c r="N108" s="604"/>
      <c r="O108" s="604"/>
      <c r="P108" s="604"/>
      <c r="Q108" s="604"/>
      <c r="R108" s="604"/>
      <c r="S108" s="604"/>
    </row>
    <row r="109" spans="2:19" ht="15" thickBot="1" x14ac:dyDescent="0.35">
      <c r="C109" s="302">
        <v>1</v>
      </c>
      <c r="D109" s="306">
        <v>1</v>
      </c>
      <c r="E109" s="330">
        <v>587.45000000000005</v>
      </c>
      <c r="L109" s="410"/>
      <c r="M109" s="604"/>
      <c r="N109" s="604"/>
      <c r="O109" s="604"/>
      <c r="P109" s="604"/>
      <c r="Q109" s="604"/>
      <c r="R109" s="604"/>
      <c r="S109" s="604"/>
    </row>
    <row r="110" spans="2:19" x14ac:dyDescent="0.3">
      <c r="L110" s="412"/>
      <c r="M110" s="344"/>
      <c r="N110" s="344"/>
      <c r="O110" s="344"/>
      <c r="P110" s="344"/>
      <c r="Q110" s="344"/>
      <c r="R110" s="344"/>
      <c r="S110" s="344"/>
    </row>
    <row r="111" spans="2:19" x14ac:dyDescent="0.3">
      <c r="L111" s="412"/>
      <c r="M111" s="344"/>
      <c r="N111" s="344"/>
      <c r="O111" s="344"/>
      <c r="P111" s="344"/>
      <c r="Q111" s="344"/>
      <c r="R111" s="344"/>
      <c r="S111" s="344"/>
    </row>
  </sheetData>
  <sheetProtection algorithmName="SHA-512" hashValue="mIMtOImymOp3aWtrXjZsvMgqyNvI6y2hhVqi84gJTheIU7pH/dbtsyterqnqTYMnyUbVqEdO1ezx8Ox5a8Ihug==" saltValue="tAOZLP7JY24psR2K6JKuvA==" spinCount="100000" sheet="1" objects="1" scenarios="1"/>
  <mergeCells count="54">
    <mergeCell ref="L5:O5"/>
    <mergeCell ref="B5:I6"/>
    <mergeCell ref="B3:I4"/>
    <mergeCell ref="M106:S106"/>
    <mergeCell ref="M107:S107"/>
    <mergeCell ref="M62:S62"/>
    <mergeCell ref="M63:S63"/>
    <mergeCell ref="M42:S42"/>
    <mergeCell ref="M43:S43"/>
    <mergeCell ref="M47:S47"/>
    <mergeCell ref="M99:S99"/>
    <mergeCell ref="M100:S100"/>
    <mergeCell ref="M65:S65"/>
    <mergeCell ref="M67:S67"/>
    <mergeCell ref="M68:S68"/>
    <mergeCell ref="M69:S69"/>
    <mergeCell ref="M108:S108"/>
    <mergeCell ref="M109:S109"/>
    <mergeCell ref="M11:S11"/>
    <mergeCell ref="M101:S101"/>
    <mergeCell ref="M102:S102"/>
    <mergeCell ref="M103:S103"/>
    <mergeCell ref="M104:S104"/>
    <mergeCell ref="M105:S105"/>
    <mergeCell ref="M73:S73"/>
    <mergeCell ref="M74:S74"/>
    <mergeCell ref="M48:S48"/>
    <mergeCell ref="M53:S53"/>
    <mergeCell ref="M30:S30"/>
    <mergeCell ref="M31:S31"/>
    <mergeCell ref="M55:S55"/>
    <mergeCell ref="M59:S59"/>
    <mergeCell ref="M71:S71"/>
    <mergeCell ref="M38:S38"/>
    <mergeCell ref="B2:I2"/>
    <mergeCell ref="E74:H74"/>
    <mergeCell ref="E73:H73"/>
    <mergeCell ref="L2:S2"/>
    <mergeCell ref="M8:S8"/>
    <mergeCell ref="M9:S9"/>
    <mergeCell ref="M10:S10"/>
    <mergeCell ref="M15:S15"/>
    <mergeCell ref="M16:S16"/>
    <mergeCell ref="M17:S17"/>
    <mergeCell ref="M18:S18"/>
    <mergeCell ref="M19:S19"/>
    <mergeCell ref="M24:S24"/>
    <mergeCell ref="M7:S7"/>
    <mergeCell ref="M54:S54"/>
    <mergeCell ref="M25:S25"/>
    <mergeCell ref="M26:S26"/>
    <mergeCell ref="M29:S29"/>
    <mergeCell ref="M33:S33"/>
    <mergeCell ref="M34:S34"/>
  </mergeCells>
  <dataValidations count="2">
    <dataValidation type="list" allowBlank="1" showInputMessage="1" showErrorMessage="1" sqref="C67" xr:uid="{01A74AB9-461C-41B6-A442-9F5EFC9FB427}">
      <formula1>$F$66:$H$66</formula1>
    </dataValidation>
    <dataValidation type="list" allowBlank="1" showInputMessage="1" showErrorMessage="1" sqref="C68:C69" xr:uid="{239D49F5-7C1B-42E2-AA7F-E52CDE2D3F79}">
      <formula1>"0,1"</formula1>
    </dataValidation>
  </dataValidations>
  <hyperlinks>
    <hyperlink ref="B75" r:id="rId1" xr:uid="{F781F95A-10E1-42EF-BCE7-657E16915EA8}"/>
  </hyperlinks>
  <pageMargins left="0.25" right="0.25" top="0.75" bottom="0.75" header="0.3" footer="0.3"/>
  <pageSetup paperSize="9" scale="65" fitToHeight="0" orientation="landscape" horizontalDpi="1200" verticalDpi="1200" r:id="rId2"/>
  <headerFooter>
    <oddFooter>&amp;R&amp;"-,Italic"&amp;K03+000Page &amp;P of &amp;N</oddFooter>
  </headerFooter>
  <rowBreaks count="2" manualBreakCount="2">
    <brk id="50" max="16383" man="1"/>
    <brk id="94" max="16383"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F0FF0-78B5-4BF5-A8ED-4DAF707ABB14}">
  <sheetPr>
    <tabColor theme="6" tint="0.59999389629810485"/>
  </sheetPr>
  <dimension ref="A1:K157"/>
  <sheetViews>
    <sheetView zoomScaleNormal="100" workbookViewId="0">
      <selection activeCell="H31" sqref="H31"/>
    </sheetView>
  </sheetViews>
  <sheetFormatPr defaultRowHeight="14.4" x14ac:dyDescent="0.3"/>
  <cols>
    <col min="1" max="1" width="3" customWidth="1"/>
    <col min="2" max="2" width="23.21875" customWidth="1"/>
    <col min="3" max="4" width="9.21875" customWidth="1"/>
    <col min="5" max="9" width="9.21875" style="54" customWidth="1"/>
    <col min="10" max="11" width="3" customWidth="1"/>
  </cols>
  <sheetData>
    <row r="1" spans="1:11" ht="15" thickBot="1" x14ac:dyDescent="0.35">
      <c r="A1" s="52"/>
      <c r="B1" s="52"/>
      <c r="C1" s="52"/>
      <c r="D1" s="52"/>
      <c r="E1" s="53"/>
      <c r="F1" s="53"/>
      <c r="G1" s="53"/>
      <c r="H1" s="53"/>
      <c r="I1" s="53"/>
      <c r="J1" s="52"/>
      <c r="K1" s="52"/>
    </row>
    <row r="2" spans="1:11" ht="24" thickBot="1" x14ac:dyDescent="0.5">
      <c r="B2" s="553" t="s">
        <v>204</v>
      </c>
      <c r="C2" s="554"/>
      <c r="D2" s="554"/>
      <c r="E2" s="554"/>
      <c r="F2" s="554"/>
      <c r="G2" s="554"/>
      <c r="H2" s="554"/>
      <c r="I2" s="555"/>
    </row>
    <row r="3" spans="1:11" s="160" customFormat="1" x14ac:dyDescent="0.3">
      <c r="B3" s="161" t="s">
        <v>205</v>
      </c>
      <c r="E3"/>
      <c r="F3"/>
      <c r="G3"/>
      <c r="H3"/>
      <c r="I3"/>
    </row>
    <row r="4" spans="1:11" s="160" customFormat="1" ht="13.95" customHeight="1" x14ac:dyDescent="0.3">
      <c r="B4" s="605" t="s">
        <v>389</v>
      </c>
      <c r="C4" s="605"/>
      <c r="D4"/>
      <c r="E4"/>
      <c r="F4"/>
      <c r="G4"/>
      <c r="H4"/>
      <c r="I4"/>
    </row>
    <row r="5" spans="1:11" s="160" customFormat="1" ht="13.95" hidden="1" customHeight="1" x14ac:dyDescent="0.25">
      <c r="B5" s="452"/>
      <c r="C5" s="452"/>
      <c r="D5" s="452"/>
      <c r="E5" s="452"/>
      <c r="F5" s="452"/>
      <c r="G5" s="452"/>
      <c r="H5" s="452"/>
      <c r="I5" s="452"/>
    </row>
    <row r="6" spans="1:11" s="160" customFormat="1" ht="15" hidden="1" thickBot="1" x14ac:dyDescent="0.35">
      <c r="B6" s="184"/>
      <c r="C6" s="179"/>
      <c r="D6" s="179"/>
      <c r="E6" s="179"/>
      <c r="F6" s="179"/>
      <c r="G6" s="179"/>
      <c r="H6" s="179"/>
      <c r="I6" s="180"/>
    </row>
    <row r="7" spans="1:11" s="160" customFormat="1" x14ac:dyDescent="0.3">
      <c r="B7" s="161"/>
      <c r="E7"/>
      <c r="F7"/>
      <c r="G7"/>
      <c r="H7"/>
      <c r="I7"/>
    </row>
    <row r="8" spans="1:11" s="160" customFormat="1" x14ac:dyDescent="0.3">
      <c r="B8" s="161"/>
      <c r="E8"/>
      <c r="F8"/>
      <c r="G8"/>
      <c r="H8"/>
      <c r="I8"/>
    </row>
    <row r="9" spans="1:11" s="160" customFormat="1" x14ac:dyDescent="0.3">
      <c r="B9" s="161"/>
      <c r="E9"/>
      <c r="F9"/>
      <c r="G9"/>
      <c r="H9"/>
      <c r="I9"/>
    </row>
    <row r="10" spans="1:11" s="160" customFormat="1" x14ac:dyDescent="0.3">
      <c r="B10" s="161"/>
      <c r="E10"/>
      <c r="F10"/>
      <c r="G10"/>
      <c r="H10"/>
      <c r="I10"/>
    </row>
    <row r="11" spans="1:11" s="160" customFormat="1" x14ac:dyDescent="0.3">
      <c r="B11" s="161"/>
      <c r="E11"/>
      <c r="F11"/>
      <c r="G11"/>
      <c r="H11"/>
      <c r="I11"/>
    </row>
    <row r="12" spans="1:11" s="160" customFormat="1" x14ac:dyDescent="0.3">
      <c r="B12" s="161"/>
      <c r="E12"/>
      <c r="F12"/>
      <c r="G12"/>
      <c r="H12"/>
      <c r="I12"/>
    </row>
    <row r="13" spans="1:11" s="160" customFormat="1" x14ac:dyDescent="0.3">
      <c r="B13" s="161"/>
      <c r="E13"/>
      <c r="F13"/>
      <c r="G13"/>
      <c r="H13"/>
      <c r="I13"/>
    </row>
    <row r="14" spans="1:11" s="160" customFormat="1" x14ac:dyDescent="0.3">
      <c r="B14" s="161"/>
      <c r="E14"/>
      <c r="F14"/>
      <c r="G14"/>
      <c r="H14"/>
      <c r="I14"/>
    </row>
    <row r="15" spans="1:11" s="160" customFormat="1" x14ac:dyDescent="0.3">
      <c r="B15" s="161"/>
      <c r="E15"/>
      <c r="F15"/>
      <c r="G15"/>
      <c r="H15"/>
      <c r="I15"/>
    </row>
    <row r="16" spans="1:11" s="160" customFormat="1" x14ac:dyDescent="0.3">
      <c r="B16" s="161"/>
      <c r="E16"/>
      <c r="F16"/>
      <c r="G16"/>
      <c r="H16"/>
      <c r="I16"/>
    </row>
    <row r="17" spans="2:9" s="160" customFormat="1" x14ac:dyDescent="0.3">
      <c r="B17" s="161"/>
      <c r="E17"/>
      <c r="F17"/>
      <c r="G17"/>
      <c r="H17"/>
      <c r="I17"/>
    </row>
    <row r="18" spans="2:9" s="160" customFormat="1" x14ac:dyDescent="0.3">
      <c r="B18" s="161"/>
      <c r="E18"/>
      <c r="F18"/>
      <c r="G18"/>
      <c r="H18"/>
      <c r="I18"/>
    </row>
    <row r="19" spans="2:9" s="160" customFormat="1" x14ac:dyDescent="0.3">
      <c r="B19" s="161"/>
      <c r="E19"/>
      <c r="F19"/>
      <c r="G19"/>
      <c r="H19"/>
      <c r="I19"/>
    </row>
    <row r="20" spans="2:9" s="160" customFormat="1" x14ac:dyDescent="0.3">
      <c r="B20" s="161"/>
      <c r="E20"/>
      <c r="F20"/>
      <c r="G20"/>
      <c r="H20"/>
      <c r="I20"/>
    </row>
    <row r="21" spans="2:9" s="160" customFormat="1" x14ac:dyDescent="0.3">
      <c r="B21" s="161"/>
      <c r="E21"/>
      <c r="F21"/>
      <c r="G21"/>
      <c r="H21"/>
      <c r="I21"/>
    </row>
    <row r="22" spans="2:9" s="160" customFormat="1" x14ac:dyDescent="0.3">
      <c r="B22" s="161"/>
      <c r="E22"/>
      <c r="F22"/>
      <c r="G22"/>
      <c r="H22"/>
      <c r="I22"/>
    </row>
    <row r="23" spans="2:9" s="160" customFormat="1" x14ac:dyDescent="0.3">
      <c r="B23" s="161"/>
      <c r="E23"/>
      <c r="F23"/>
      <c r="G23"/>
      <c r="H23"/>
      <c r="I23"/>
    </row>
    <row r="24" spans="2:9" s="160" customFormat="1" x14ac:dyDescent="0.3">
      <c r="B24" s="161"/>
      <c r="E24"/>
      <c r="F24"/>
      <c r="G24"/>
      <c r="H24"/>
      <c r="I24"/>
    </row>
    <row r="25" spans="2:9" s="160" customFormat="1" x14ac:dyDescent="0.3">
      <c r="B25" s="161"/>
      <c r="E25"/>
      <c r="F25"/>
      <c r="G25"/>
      <c r="H25"/>
      <c r="I25"/>
    </row>
    <row r="26" spans="2:9" s="160" customFormat="1" x14ac:dyDescent="0.3">
      <c r="B26" s="161"/>
      <c r="E26"/>
      <c r="F26"/>
      <c r="G26"/>
      <c r="H26"/>
      <c r="I26"/>
    </row>
    <row r="27" spans="2:9" s="160" customFormat="1" x14ac:dyDescent="0.3">
      <c r="B27" s="161"/>
      <c r="E27"/>
      <c r="F27"/>
      <c r="G27"/>
      <c r="H27"/>
      <c r="I27"/>
    </row>
    <row r="28" spans="2:9" x14ac:dyDescent="0.3">
      <c r="H28" s="181"/>
      <c r="I28" s="181"/>
    </row>
    <row r="29" spans="2:9" ht="15" thickBot="1" x14ac:dyDescent="0.35">
      <c r="B29" s="60"/>
      <c r="E29" s="181">
        <v>1</v>
      </c>
      <c r="F29" s="181">
        <v>2</v>
      </c>
      <c r="G29" s="181">
        <v>3</v>
      </c>
      <c r="H29"/>
      <c r="I29"/>
    </row>
    <row r="30" spans="2:9" ht="58.2" thickBot="1" x14ac:dyDescent="0.35">
      <c r="E30" s="194" t="s">
        <v>61</v>
      </c>
      <c r="F30" s="197" t="s">
        <v>206</v>
      </c>
      <c r="G30" s="194" t="s">
        <v>204</v>
      </c>
      <c r="H30"/>
      <c r="I30"/>
    </row>
    <row r="31" spans="2:9" x14ac:dyDescent="0.3">
      <c r="E31" s="193">
        <v>-0.3</v>
      </c>
      <c r="F31" s="272">
        <v>0</v>
      </c>
      <c r="G31" s="195">
        <v>0</v>
      </c>
      <c r="H31"/>
      <c r="I31"/>
    </row>
    <row r="32" spans="2:9" x14ac:dyDescent="0.3">
      <c r="E32" s="193">
        <v>-0.25</v>
      </c>
      <c r="F32" s="272">
        <v>0</v>
      </c>
      <c r="G32" s="195">
        <v>0</v>
      </c>
      <c r="H32"/>
      <c r="I32"/>
    </row>
    <row r="33" spans="5:9" x14ac:dyDescent="0.3">
      <c r="E33" s="193">
        <v>-0.2</v>
      </c>
      <c r="F33" s="272">
        <v>0</v>
      </c>
      <c r="G33" s="195">
        <v>0</v>
      </c>
      <c r="H33"/>
      <c r="I33"/>
    </row>
    <row r="34" spans="5:9" x14ac:dyDescent="0.3">
      <c r="E34" s="193">
        <v>-0.15</v>
      </c>
      <c r="F34" s="272">
        <v>0</v>
      </c>
      <c r="G34" s="195">
        <v>0</v>
      </c>
      <c r="H34"/>
      <c r="I34"/>
    </row>
    <row r="35" spans="5:9" x14ac:dyDescent="0.3">
      <c r="E35" s="193">
        <v>-0.1</v>
      </c>
      <c r="F35" s="272">
        <v>0</v>
      </c>
      <c r="G35" s="195">
        <v>0</v>
      </c>
      <c r="H35"/>
      <c r="I35"/>
    </row>
    <row r="36" spans="5:9" x14ac:dyDescent="0.3">
      <c r="E36" s="193">
        <v>-0.05</v>
      </c>
      <c r="F36" s="272">
        <v>0</v>
      </c>
      <c r="G36" s="195">
        <v>0</v>
      </c>
      <c r="H36"/>
      <c r="I36"/>
    </row>
    <row r="37" spans="5:9" x14ac:dyDescent="0.3">
      <c r="E37" s="193">
        <v>0</v>
      </c>
      <c r="F37" s="272">
        <v>0</v>
      </c>
      <c r="G37" s="195">
        <v>0</v>
      </c>
      <c r="H37"/>
      <c r="I37"/>
    </row>
    <row r="38" spans="5:9" x14ac:dyDescent="0.3">
      <c r="E38" s="55">
        <v>0.05</v>
      </c>
      <c r="F38" s="273">
        <v>5</v>
      </c>
      <c r="G38" s="56">
        <v>2100</v>
      </c>
      <c r="H38"/>
      <c r="I38"/>
    </row>
    <row r="39" spans="5:9" x14ac:dyDescent="0.3">
      <c r="E39" s="55">
        <v>0.1</v>
      </c>
      <c r="F39" s="273">
        <v>7.5</v>
      </c>
      <c r="G39" s="56">
        <v>3200</v>
      </c>
      <c r="H39"/>
      <c r="I39"/>
    </row>
    <row r="40" spans="5:9" x14ac:dyDescent="0.3">
      <c r="E40" s="55">
        <v>0.15</v>
      </c>
      <c r="F40" s="273">
        <v>10</v>
      </c>
      <c r="G40" s="56">
        <v>4300</v>
      </c>
      <c r="H40"/>
      <c r="I40"/>
    </row>
    <row r="41" spans="5:9" x14ac:dyDescent="0.3">
      <c r="E41" s="55">
        <v>0.2</v>
      </c>
      <c r="F41" s="273">
        <v>10.5</v>
      </c>
      <c r="G41" s="56">
        <v>4500</v>
      </c>
      <c r="H41"/>
      <c r="I41"/>
    </row>
    <row r="42" spans="5:9" x14ac:dyDescent="0.3">
      <c r="E42" s="55">
        <v>0.25</v>
      </c>
      <c r="F42" s="273">
        <v>11</v>
      </c>
      <c r="G42" s="56">
        <v>4700</v>
      </c>
      <c r="H42"/>
      <c r="I42"/>
    </row>
    <row r="43" spans="5:9" x14ac:dyDescent="0.3">
      <c r="E43" s="55">
        <v>0.3</v>
      </c>
      <c r="F43" s="273">
        <v>11.75</v>
      </c>
      <c r="G43" s="56">
        <v>5025</v>
      </c>
      <c r="H43"/>
      <c r="I43"/>
    </row>
    <row r="44" spans="5:9" x14ac:dyDescent="0.3">
      <c r="E44" s="55">
        <v>0.35</v>
      </c>
      <c r="F44" s="274">
        <v>12.5</v>
      </c>
      <c r="G44" s="56">
        <v>5350</v>
      </c>
      <c r="H44"/>
      <c r="I44"/>
    </row>
    <row r="45" spans="5:9" x14ac:dyDescent="0.3">
      <c r="E45" s="55">
        <v>0.4</v>
      </c>
      <c r="F45" s="274">
        <v>13.25</v>
      </c>
      <c r="G45" s="56">
        <v>5675</v>
      </c>
      <c r="H45"/>
      <c r="I45"/>
    </row>
    <row r="46" spans="5:9" x14ac:dyDescent="0.3">
      <c r="E46" s="55">
        <v>0.45</v>
      </c>
      <c r="F46" s="274">
        <v>14</v>
      </c>
      <c r="G46" s="56">
        <v>6000</v>
      </c>
      <c r="H46"/>
      <c r="I46"/>
    </row>
    <row r="47" spans="5:9" x14ac:dyDescent="0.3">
      <c r="E47" s="55">
        <v>0.5</v>
      </c>
      <c r="F47" s="274">
        <v>14.428571428571429</v>
      </c>
      <c r="G47" s="56">
        <v>6185.7142857142853</v>
      </c>
      <c r="H47"/>
      <c r="I47"/>
    </row>
    <row r="48" spans="5:9" x14ac:dyDescent="0.3">
      <c r="E48" s="55">
        <v>0.55000000000000004</v>
      </c>
      <c r="F48" s="274">
        <v>14.857142857142858</v>
      </c>
      <c r="G48" s="56">
        <v>6371.4285714285716</v>
      </c>
      <c r="H48"/>
      <c r="I48"/>
    </row>
    <row r="49" spans="5:9" x14ac:dyDescent="0.3">
      <c r="E49" s="55">
        <v>0.6</v>
      </c>
      <c r="F49" s="274">
        <v>15.285714285714285</v>
      </c>
      <c r="G49" s="56">
        <v>6557.1428571428569</v>
      </c>
      <c r="H49"/>
      <c r="I49"/>
    </row>
    <row r="50" spans="5:9" x14ac:dyDescent="0.3">
      <c r="E50" s="55">
        <v>0.65</v>
      </c>
      <c r="F50" s="274">
        <v>15.714285714285715</v>
      </c>
      <c r="G50" s="56">
        <v>6742.8571428571431</v>
      </c>
      <c r="H50"/>
      <c r="I50"/>
    </row>
    <row r="51" spans="5:9" x14ac:dyDescent="0.3">
      <c r="E51" s="55">
        <v>0.7</v>
      </c>
      <c r="F51" s="274">
        <v>16.142857142857142</v>
      </c>
      <c r="G51" s="56">
        <v>6928.5714285714284</v>
      </c>
      <c r="H51"/>
      <c r="I51"/>
    </row>
    <row r="52" spans="5:9" x14ac:dyDescent="0.3">
      <c r="E52" s="55">
        <v>0.75</v>
      </c>
      <c r="F52" s="274">
        <v>16.571428571428569</v>
      </c>
      <c r="G52" s="56">
        <v>7114.2857142857138</v>
      </c>
      <c r="H52"/>
      <c r="I52"/>
    </row>
    <row r="53" spans="5:9" x14ac:dyDescent="0.3">
      <c r="E53" s="55">
        <v>0.8</v>
      </c>
      <c r="F53" s="274">
        <v>17</v>
      </c>
      <c r="G53" s="56">
        <v>7300</v>
      </c>
      <c r="H53"/>
      <c r="I53"/>
    </row>
    <row r="54" spans="5:9" x14ac:dyDescent="0.3">
      <c r="E54" s="55">
        <v>0.85</v>
      </c>
      <c r="F54" s="274">
        <v>19.999999999999996</v>
      </c>
      <c r="G54" s="56">
        <v>8574.9999999999982</v>
      </c>
      <c r="H54"/>
      <c r="I54"/>
    </row>
    <row r="55" spans="5:9" x14ac:dyDescent="0.3">
      <c r="E55" s="55">
        <v>0.9</v>
      </c>
      <c r="F55" s="274">
        <v>23</v>
      </c>
      <c r="G55" s="56">
        <v>9850</v>
      </c>
      <c r="H55"/>
      <c r="I55"/>
    </row>
    <row r="56" spans="5:9" x14ac:dyDescent="0.3">
      <c r="E56" s="55">
        <v>0.95</v>
      </c>
      <c r="F56" s="274">
        <v>25.999999999999996</v>
      </c>
      <c r="G56" s="56">
        <v>11124.999999999998</v>
      </c>
      <c r="H56"/>
      <c r="I56"/>
    </row>
    <row r="57" spans="5:9" x14ac:dyDescent="0.3">
      <c r="E57" s="55">
        <v>1</v>
      </c>
      <c r="F57" s="274">
        <v>29</v>
      </c>
      <c r="G57" s="56">
        <v>12400</v>
      </c>
      <c r="H57"/>
      <c r="I57"/>
    </row>
    <row r="58" spans="5:9" x14ac:dyDescent="0.3">
      <c r="E58" s="55">
        <v>1.05</v>
      </c>
      <c r="F58" s="274">
        <v>29</v>
      </c>
      <c r="G58" s="56">
        <v>12400</v>
      </c>
      <c r="H58"/>
      <c r="I58"/>
    </row>
    <row r="59" spans="5:9" x14ac:dyDescent="0.3">
      <c r="E59" s="55">
        <v>1.1000000000000001</v>
      </c>
      <c r="F59" s="274">
        <v>29</v>
      </c>
      <c r="G59" s="56">
        <v>12400</v>
      </c>
      <c r="H59"/>
      <c r="I59"/>
    </row>
    <row r="60" spans="5:9" x14ac:dyDescent="0.3">
      <c r="E60" s="55">
        <v>1.1499999999999999</v>
      </c>
      <c r="F60" s="274">
        <v>29</v>
      </c>
      <c r="G60" s="56">
        <v>12400</v>
      </c>
      <c r="H60"/>
      <c r="I60"/>
    </row>
    <row r="61" spans="5:9" x14ac:dyDescent="0.3">
      <c r="E61" s="55">
        <v>1.2</v>
      </c>
      <c r="F61" s="274">
        <v>29</v>
      </c>
      <c r="G61" s="56">
        <v>12400</v>
      </c>
      <c r="H61"/>
      <c r="I61"/>
    </row>
    <row r="62" spans="5:9" x14ac:dyDescent="0.3">
      <c r="E62" s="55">
        <v>1.25</v>
      </c>
      <c r="F62" s="274">
        <v>29</v>
      </c>
      <c r="G62" s="56">
        <v>12400</v>
      </c>
      <c r="H62"/>
      <c r="I62"/>
    </row>
    <row r="63" spans="5:9" x14ac:dyDescent="0.3">
      <c r="E63" s="55">
        <v>1.3</v>
      </c>
      <c r="F63" s="274">
        <v>29</v>
      </c>
      <c r="G63" s="56">
        <v>12400</v>
      </c>
      <c r="H63"/>
      <c r="I63"/>
    </row>
    <row r="64" spans="5:9" x14ac:dyDescent="0.3">
      <c r="E64" s="55">
        <v>1.35</v>
      </c>
      <c r="F64" s="274">
        <v>29</v>
      </c>
      <c r="G64" s="56">
        <v>12400</v>
      </c>
      <c r="H64"/>
      <c r="I64"/>
    </row>
    <row r="65" spans="5:9" x14ac:dyDescent="0.3">
      <c r="E65" s="55">
        <v>1.4</v>
      </c>
      <c r="F65" s="274">
        <v>29</v>
      </c>
      <c r="G65" s="56">
        <v>12400</v>
      </c>
      <c r="H65"/>
      <c r="I65"/>
    </row>
    <row r="66" spans="5:9" x14ac:dyDescent="0.3">
      <c r="E66" s="55">
        <v>1.45</v>
      </c>
      <c r="F66" s="274">
        <v>29</v>
      </c>
      <c r="G66" s="56">
        <v>12400</v>
      </c>
      <c r="H66"/>
      <c r="I66"/>
    </row>
    <row r="67" spans="5:9" x14ac:dyDescent="0.3">
      <c r="E67" s="55">
        <v>1.5</v>
      </c>
      <c r="F67" s="274">
        <v>29</v>
      </c>
      <c r="G67" s="56">
        <v>12400</v>
      </c>
      <c r="H67"/>
      <c r="I67"/>
    </row>
    <row r="68" spans="5:9" x14ac:dyDescent="0.3">
      <c r="E68" s="55">
        <v>1.55</v>
      </c>
      <c r="F68" s="274">
        <v>29</v>
      </c>
      <c r="G68" s="56">
        <v>12400</v>
      </c>
      <c r="H68"/>
      <c r="I68"/>
    </row>
    <row r="69" spans="5:9" x14ac:dyDescent="0.3">
      <c r="E69" s="55">
        <v>1.6</v>
      </c>
      <c r="F69" s="274">
        <v>29</v>
      </c>
      <c r="G69" s="56">
        <v>12400</v>
      </c>
      <c r="H69"/>
      <c r="I69"/>
    </row>
    <row r="70" spans="5:9" x14ac:dyDescent="0.3">
      <c r="E70" s="55">
        <v>1.65</v>
      </c>
      <c r="F70" s="274">
        <v>29</v>
      </c>
      <c r="G70" s="56">
        <v>12400</v>
      </c>
      <c r="H70"/>
      <c r="I70"/>
    </row>
    <row r="71" spans="5:9" x14ac:dyDescent="0.3">
      <c r="E71" s="55">
        <v>1.7</v>
      </c>
      <c r="F71" s="274">
        <v>29</v>
      </c>
      <c r="G71" s="56">
        <v>12400</v>
      </c>
      <c r="H71"/>
      <c r="I71"/>
    </row>
    <row r="72" spans="5:9" x14ac:dyDescent="0.3">
      <c r="E72" s="55">
        <v>1.75</v>
      </c>
      <c r="F72" s="274">
        <v>29</v>
      </c>
      <c r="G72" s="56">
        <v>12400</v>
      </c>
      <c r="H72"/>
      <c r="I72"/>
    </row>
    <row r="73" spans="5:9" x14ac:dyDescent="0.3">
      <c r="E73" s="55">
        <v>1.8</v>
      </c>
      <c r="F73" s="274">
        <v>29</v>
      </c>
      <c r="G73" s="56">
        <v>12400</v>
      </c>
      <c r="H73"/>
      <c r="I73"/>
    </row>
    <row r="74" spans="5:9" x14ac:dyDescent="0.3">
      <c r="E74" s="55">
        <v>1.85</v>
      </c>
      <c r="F74" s="274">
        <v>29</v>
      </c>
      <c r="G74" s="56">
        <v>12400</v>
      </c>
      <c r="H74"/>
      <c r="I74"/>
    </row>
    <row r="75" spans="5:9" x14ac:dyDescent="0.3">
      <c r="E75" s="55">
        <v>1.9</v>
      </c>
      <c r="F75" s="274">
        <v>29</v>
      </c>
      <c r="G75" s="56">
        <v>12400</v>
      </c>
      <c r="H75"/>
      <c r="I75"/>
    </row>
    <row r="76" spans="5:9" x14ac:dyDescent="0.3">
      <c r="E76" s="55">
        <v>1.95</v>
      </c>
      <c r="F76" s="274">
        <v>29</v>
      </c>
      <c r="G76" s="56">
        <v>12400</v>
      </c>
      <c r="H76"/>
      <c r="I76"/>
    </row>
    <row r="77" spans="5:9" x14ac:dyDescent="0.3">
      <c r="E77" s="55">
        <v>2</v>
      </c>
      <c r="F77" s="274">
        <v>29</v>
      </c>
      <c r="G77" s="56">
        <v>12400</v>
      </c>
      <c r="H77"/>
      <c r="I77"/>
    </row>
    <row r="78" spans="5:9" x14ac:dyDescent="0.3">
      <c r="E78" s="55">
        <v>2.0499999999999998</v>
      </c>
      <c r="F78" s="274">
        <v>29</v>
      </c>
      <c r="G78" s="56">
        <v>12400</v>
      </c>
      <c r="H78"/>
      <c r="I78"/>
    </row>
    <row r="79" spans="5:9" x14ac:dyDescent="0.3">
      <c r="E79" s="55">
        <v>2.1</v>
      </c>
      <c r="F79" s="274">
        <v>29</v>
      </c>
      <c r="G79" s="56">
        <v>12400</v>
      </c>
      <c r="H79"/>
      <c r="I79"/>
    </row>
    <row r="80" spans="5:9" x14ac:dyDescent="0.3">
      <c r="E80" s="55">
        <v>2.15</v>
      </c>
      <c r="F80" s="274">
        <v>29</v>
      </c>
      <c r="G80" s="56">
        <v>12400</v>
      </c>
      <c r="H80"/>
      <c r="I80"/>
    </row>
    <row r="81" spans="5:9" x14ac:dyDescent="0.3">
      <c r="E81" s="55">
        <v>2.2000000000000002</v>
      </c>
      <c r="F81" s="274">
        <v>29</v>
      </c>
      <c r="G81" s="56">
        <v>12400</v>
      </c>
      <c r="H81"/>
      <c r="I81"/>
    </row>
    <row r="82" spans="5:9" x14ac:dyDescent="0.3">
      <c r="E82" s="55">
        <v>2.25</v>
      </c>
      <c r="F82" s="274">
        <v>29</v>
      </c>
      <c r="G82" s="56">
        <v>12400</v>
      </c>
      <c r="H82"/>
      <c r="I82"/>
    </row>
    <row r="83" spans="5:9" x14ac:dyDescent="0.3">
      <c r="E83" s="55">
        <v>2.2999999999999998</v>
      </c>
      <c r="F83" s="274">
        <v>29</v>
      </c>
      <c r="G83" s="56">
        <v>12400</v>
      </c>
      <c r="H83"/>
      <c r="I83"/>
    </row>
    <row r="84" spans="5:9" x14ac:dyDescent="0.3">
      <c r="E84" s="55">
        <v>2.35</v>
      </c>
      <c r="F84" s="274">
        <v>29</v>
      </c>
      <c r="G84" s="56">
        <v>12400</v>
      </c>
      <c r="H84"/>
      <c r="I84"/>
    </row>
    <row r="85" spans="5:9" x14ac:dyDescent="0.3">
      <c r="E85" s="55">
        <v>2.4</v>
      </c>
      <c r="F85" s="274">
        <v>29</v>
      </c>
      <c r="G85" s="56">
        <v>12400</v>
      </c>
      <c r="H85"/>
      <c r="I85"/>
    </row>
    <row r="86" spans="5:9" x14ac:dyDescent="0.3">
      <c r="E86" s="55">
        <v>2.4500000000000002</v>
      </c>
      <c r="F86" s="274">
        <v>29</v>
      </c>
      <c r="G86" s="56">
        <v>12400</v>
      </c>
      <c r="H86"/>
      <c r="I86"/>
    </row>
    <row r="87" spans="5:9" x14ac:dyDescent="0.3">
      <c r="E87" s="55">
        <v>2.5</v>
      </c>
      <c r="F87" s="274">
        <v>29</v>
      </c>
      <c r="G87" s="56">
        <v>12400</v>
      </c>
      <c r="H87"/>
      <c r="I87"/>
    </row>
    <row r="88" spans="5:9" x14ac:dyDescent="0.3">
      <c r="E88" s="55">
        <v>2.5499999999999998</v>
      </c>
      <c r="F88" s="273">
        <v>29</v>
      </c>
      <c r="G88" s="56">
        <v>12400</v>
      </c>
      <c r="H88"/>
      <c r="I88"/>
    </row>
    <row r="89" spans="5:9" x14ac:dyDescent="0.3">
      <c r="E89" s="55">
        <v>2.6</v>
      </c>
      <c r="F89" s="273">
        <v>29</v>
      </c>
      <c r="G89" s="56">
        <v>12400</v>
      </c>
      <c r="H89"/>
      <c r="I89"/>
    </row>
    <row r="90" spans="5:9" x14ac:dyDescent="0.3">
      <c r="E90" s="55">
        <v>2.65</v>
      </c>
      <c r="F90" s="273">
        <v>29</v>
      </c>
      <c r="G90" s="56">
        <v>12400</v>
      </c>
      <c r="H90"/>
      <c r="I90"/>
    </row>
    <row r="91" spans="5:9" x14ac:dyDescent="0.3">
      <c r="E91" s="55">
        <v>2.7</v>
      </c>
      <c r="F91" s="273">
        <v>29</v>
      </c>
      <c r="G91" s="56">
        <v>12400</v>
      </c>
      <c r="H91"/>
      <c r="I91"/>
    </row>
    <row r="92" spans="5:9" x14ac:dyDescent="0.3">
      <c r="E92" s="55">
        <v>2.75</v>
      </c>
      <c r="F92" s="273">
        <v>29</v>
      </c>
      <c r="G92" s="56">
        <v>12400</v>
      </c>
      <c r="H92"/>
      <c r="I92"/>
    </row>
    <row r="93" spans="5:9" x14ac:dyDescent="0.3">
      <c r="E93" s="55">
        <v>2.8</v>
      </c>
      <c r="F93" s="273">
        <v>29</v>
      </c>
      <c r="G93" s="56">
        <v>12400</v>
      </c>
      <c r="H93"/>
      <c r="I93"/>
    </row>
    <row r="94" spans="5:9" x14ac:dyDescent="0.3">
      <c r="E94" s="55">
        <v>2.85</v>
      </c>
      <c r="F94" s="273">
        <v>29</v>
      </c>
      <c r="G94" s="56">
        <v>12400</v>
      </c>
      <c r="H94"/>
      <c r="I94"/>
    </row>
    <row r="95" spans="5:9" x14ac:dyDescent="0.3">
      <c r="E95" s="55">
        <v>2.9</v>
      </c>
      <c r="F95" s="273">
        <v>29</v>
      </c>
      <c r="G95" s="56">
        <v>12400</v>
      </c>
      <c r="H95"/>
      <c r="I95"/>
    </row>
    <row r="96" spans="5:9" x14ac:dyDescent="0.3">
      <c r="E96" s="55">
        <v>2.95</v>
      </c>
      <c r="F96" s="273">
        <v>29</v>
      </c>
      <c r="G96" s="56">
        <v>12400</v>
      </c>
      <c r="H96"/>
      <c r="I96"/>
    </row>
    <row r="97" spans="5:9" x14ac:dyDescent="0.3">
      <c r="E97" s="55">
        <v>3</v>
      </c>
      <c r="F97" s="273">
        <v>29</v>
      </c>
      <c r="G97" s="56">
        <v>12400</v>
      </c>
      <c r="H97"/>
      <c r="I97"/>
    </row>
    <row r="98" spans="5:9" x14ac:dyDescent="0.3">
      <c r="E98" s="55">
        <v>3.05</v>
      </c>
      <c r="F98" s="273">
        <v>29</v>
      </c>
      <c r="G98" s="56">
        <v>12400</v>
      </c>
      <c r="H98"/>
      <c r="I98"/>
    </row>
    <row r="99" spans="5:9" x14ac:dyDescent="0.3">
      <c r="E99" s="55">
        <v>3.1</v>
      </c>
      <c r="F99" s="273">
        <v>29</v>
      </c>
      <c r="G99" s="56">
        <v>12400</v>
      </c>
      <c r="H99"/>
      <c r="I99"/>
    </row>
    <row r="100" spans="5:9" x14ac:dyDescent="0.3">
      <c r="E100" s="55">
        <v>3.15</v>
      </c>
      <c r="F100" s="273">
        <v>29</v>
      </c>
      <c r="G100" s="56">
        <v>12400</v>
      </c>
      <c r="H100"/>
      <c r="I100"/>
    </row>
    <row r="101" spans="5:9" x14ac:dyDescent="0.3">
      <c r="E101" s="55">
        <v>3.2</v>
      </c>
      <c r="F101" s="273">
        <v>29</v>
      </c>
      <c r="G101" s="56">
        <v>12400</v>
      </c>
      <c r="H101"/>
      <c r="I101"/>
    </row>
    <row r="102" spans="5:9" x14ac:dyDescent="0.3">
      <c r="E102" s="55">
        <v>3.25</v>
      </c>
      <c r="F102" s="273">
        <v>29</v>
      </c>
      <c r="G102" s="56">
        <v>12400</v>
      </c>
      <c r="H102"/>
      <c r="I102"/>
    </row>
    <row r="103" spans="5:9" x14ac:dyDescent="0.3">
      <c r="E103" s="55">
        <v>3.3</v>
      </c>
      <c r="F103" s="273">
        <v>29</v>
      </c>
      <c r="G103" s="56">
        <v>12400</v>
      </c>
      <c r="H103"/>
      <c r="I103"/>
    </row>
    <row r="104" spans="5:9" x14ac:dyDescent="0.3">
      <c r="E104" s="55">
        <v>3.35</v>
      </c>
      <c r="F104" s="273">
        <v>29</v>
      </c>
      <c r="G104" s="56">
        <v>12400</v>
      </c>
      <c r="H104"/>
      <c r="I104"/>
    </row>
    <row r="105" spans="5:9" x14ac:dyDescent="0.3">
      <c r="E105" s="55">
        <v>3.4</v>
      </c>
      <c r="F105" s="273">
        <v>29</v>
      </c>
      <c r="G105" s="56">
        <v>12400</v>
      </c>
      <c r="H105"/>
      <c r="I105"/>
    </row>
    <row r="106" spans="5:9" x14ac:dyDescent="0.3">
      <c r="E106" s="55">
        <v>3.45</v>
      </c>
      <c r="F106" s="273">
        <v>29</v>
      </c>
      <c r="G106" s="56">
        <v>12400</v>
      </c>
      <c r="H106"/>
      <c r="I106"/>
    </row>
    <row r="107" spans="5:9" x14ac:dyDescent="0.3">
      <c r="E107" s="55">
        <v>3.5</v>
      </c>
      <c r="F107" s="273">
        <v>29</v>
      </c>
      <c r="G107" s="56">
        <v>12400</v>
      </c>
      <c r="H107"/>
      <c r="I107"/>
    </row>
    <row r="108" spans="5:9" x14ac:dyDescent="0.3">
      <c r="E108" s="55">
        <v>3.55</v>
      </c>
      <c r="F108" s="273">
        <v>29</v>
      </c>
      <c r="G108" s="56">
        <v>12400</v>
      </c>
      <c r="H108"/>
      <c r="I108"/>
    </row>
    <row r="109" spans="5:9" x14ac:dyDescent="0.3">
      <c r="E109" s="55">
        <v>3.6</v>
      </c>
      <c r="F109" s="273">
        <v>29</v>
      </c>
      <c r="G109" s="56">
        <v>12400</v>
      </c>
      <c r="H109"/>
      <c r="I109"/>
    </row>
    <row r="110" spans="5:9" x14ac:dyDescent="0.3">
      <c r="E110" s="55">
        <v>3.65</v>
      </c>
      <c r="F110" s="273">
        <v>29</v>
      </c>
      <c r="G110" s="56">
        <v>12400</v>
      </c>
      <c r="H110"/>
      <c r="I110"/>
    </row>
    <row r="111" spans="5:9" x14ac:dyDescent="0.3">
      <c r="E111" s="55">
        <v>3.7</v>
      </c>
      <c r="F111" s="273">
        <v>29</v>
      </c>
      <c r="G111" s="56">
        <v>12400</v>
      </c>
      <c r="H111"/>
      <c r="I111"/>
    </row>
    <row r="112" spans="5:9" x14ac:dyDescent="0.3">
      <c r="E112" s="55">
        <v>3.75</v>
      </c>
      <c r="F112" s="273">
        <v>29</v>
      </c>
      <c r="G112" s="56">
        <v>12400</v>
      </c>
      <c r="H112"/>
      <c r="I112"/>
    </row>
    <row r="113" spans="5:9" x14ac:dyDescent="0.3">
      <c r="E113" s="55">
        <v>3.8</v>
      </c>
      <c r="F113" s="273">
        <v>29</v>
      </c>
      <c r="G113" s="56">
        <v>12400</v>
      </c>
      <c r="H113"/>
      <c r="I113"/>
    </row>
    <row r="114" spans="5:9" x14ac:dyDescent="0.3">
      <c r="E114" s="55">
        <v>3.85</v>
      </c>
      <c r="F114" s="273">
        <v>29</v>
      </c>
      <c r="G114" s="56">
        <v>12400</v>
      </c>
      <c r="H114"/>
      <c r="I114"/>
    </row>
    <row r="115" spans="5:9" x14ac:dyDescent="0.3">
      <c r="E115" s="55">
        <v>3.9</v>
      </c>
      <c r="F115" s="273">
        <v>29</v>
      </c>
      <c r="G115" s="56">
        <v>12400</v>
      </c>
    </row>
    <row r="116" spans="5:9" x14ac:dyDescent="0.3">
      <c r="E116" s="55">
        <v>3.95</v>
      </c>
      <c r="F116" s="273">
        <v>29</v>
      </c>
      <c r="G116" s="56">
        <v>12400</v>
      </c>
    </row>
    <row r="117" spans="5:9" x14ac:dyDescent="0.3">
      <c r="E117" s="55">
        <v>4</v>
      </c>
      <c r="F117" s="273">
        <v>29</v>
      </c>
      <c r="G117" s="56">
        <v>12400</v>
      </c>
    </row>
    <row r="118" spans="5:9" x14ac:dyDescent="0.3">
      <c r="E118" s="55">
        <v>4.05</v>
      </c>
      <c r="F118" s="273">
        <v>29</v>
      </c>
      <c r="G118" s="56">
        <v>12400</v>
      </c>
    </row>
    <row r="119" spans="5:9" x14ac:dyDescent="0.3">
      <c r="E119" s="55">
        <v>4.0999999999999996</v>
      </c>
      <c r="F119" s="273">
        <v>29</v>
      </c>
      <c r="G119" s="56">
        <v>12400</v>
      </c>
    </row>
    <row r="120" spans="5:9" x14ac:dyDescent="0.3">
      <c r="E120" s="55">
        <v>4.1500000000000004</v>
      </c>
      <c r="F120" s="273">
        <v>29</v>
      </c>
      <c r="G120" s="56">
        <v>12400</v>
      </c>
    </row>
    <row r="121" spans="5:9" x14ac:dyDescent="0.3">
      <c r="E121" s="55">
        <v>4.2</v>
      </c>
      <c r="F121" s="273">
        <v>29</v>
      </c>
      <c r="G121" s="56">
        <v>12400</v>
      </c>
    </row>
    <row r="122" spans="5:9" x14ac:dyDescent="0.3">
      <c r="E122" s="55">
        <v>4.25</v>
      </c>
      <c r="F122" s="273">
        <v>29</v>
      </c>
      <c r="G122" s="56">
        <v>12400</v>
      </c>
    </row>
    <row r="123" spans="5:9" x14ac:dyDescent="0.3">
      <c r="E123" s="55">
        <v>4.3</v>
      </c>
      <c r="F123" s="273">
        <v>29</v>
      </c>
      <c r="G123" s="56">
        <v>12400</v>
      </c>
    </row>
    <row r="124" spans="5:9" x14ac:dyDescent="0.3">
      <c r="E124" s="55">
        <v>4.3499999999999996</v>
      </c>
      <c r="F124" s="273">
        <v>29</v>
      </c>
      <c r="G124" s="56">
        <v>12400</v>
      </c>
    </row>
    <row r="125" spans="5:9" x14ac:dyDescent="0.3">
      <c r="E125" s="55">
        <v>4.4000000000000004</v>
      </c>
      <c r="F125" s="273">
        <v>29</v>
      </c>
      <c r="G125" s="56">
        <v>12400</v>
      </c>
    </row>
    <row r="126" spans="5:9" x14ac:dyDescent="0.3">
      <c r="E126" s="55">
        <v>4.45</v>
      </c>
      <c r="F126" s="273">
        <v>29</v>
      </c>
      <c r="G126" s="56">
        <v>12400</v>
      </c>
    </row>
    <row r="127" spans="5:9" x14ac:dyDescent="0.3">
      <c r="E127" s="55">
        <v>4.5</v>
      </c>
      <c r="F127" s="273">
        <v>29</v>
      </c>
      <c r="G127" s="56">
        <v>12400</v>
      </c>
    </row>
    <row r="128" spans="5:9" x14ac:dyDescent="0.3">
      <c r="E128" s="55">
        <v>4.55</v>
      </c>
      <c r="F128" s="273">
        <v>29</v>
      </c>
      <c r="G128" s="56">
        <v>12400</v>
      </c>
    </row>
    <row r="129" spans="5:7" x14ac:dyDescent="0.3">
      <c r="E129" s="55">
        <v>4.5999999999999996</v>
      </c>
      <c r="F129" s="273">
        <v>29</v>
      </c>
      <c r="G129" s="56">
        <v>12400</v>
      </c>
    </row>
    <row r="130" spans="5:7" x14ac:dyDescent="0.3">
      <c r="E130" s="55">
        <v>4.6500000000000004</v>
      </c>
      <c r="F130" s="273">
        <v>29</v>
      </c>
      <c r="G130" s="56">
        <v>12400</v>
      </c>
    </row>
    <row r="131" spans="5:7" x14ac:dyDescent="0.3">
      <c r="E131" s="55">
        <v>4.7</v>
      </c>
      <c r="F131" s="273">
        <v>29</v>
      </c>
      <c r="G131" s="56">
        <v>12400</v>
      </c>
    </row>
    <row r="132" spans="5:7" x14ac:dyDescent="0.3">
      <c r="E132" s="55">
        <v>4.75</v>
      </c>
      <c r="F132" s="273">
        <v>29</v>
      </c>
      <c r="G132" s="56">
        <v>12400</v>
      </c>
    </row>
    <row r="133" spans="5:7" x14ac:dyDescent="0.3">
      <c r="E133" s="55">
        <v>4.8</v>
      </c>
      <c r="F133" s="273">
        <v>29</v>
      </c>
      <c r="G133" s="56">
        <v>12400</v>
      </c>
    </row>
    <row r="134" spans="5:7" x14ac:dyDescent="0.3">
      <c r="E134" s="55">
        <v>4.8499999999999996</v>
      </c>
      <c r="F134" s="273">
        <v>29</v>
      </c>
      <c r="G134" s="56">
        <v>12400</v>
      </c>
    </row>
    <row r="135" spans="5:7" x14ac:dyDescent="0.3">
      <c r="E135" s="55">
        <v>4.9000000000000004</v>
      </c>
      <c r="F135" s="273">
        <v>29</v>
      </c>
      <c r="G135" s="56">
        <v>12400</v>
      </c>
    </row>
    <row r="136" spans="5:7" x14ac:dyDescent="0.3">
      <c r="E136" s="55">
        <v>4.95</v>
      </c>
      <c r="F136" s="273">
        <v>29</v>
      </c>
      <c r="G136" s="56">
        <v>12400</v>
      </c>
    </row>
    <row r="137" spans="5:7" x14ac:dyDescent="0.3">
      <c r="E137" s="55">
        <v>5</v>
      </c>
      <c r="F137" s="273">
        <v>29</v>
      </c>
      <c r="G137" s="56">
        <v>12400</v>
      </c>
    </row>
    <row r="138" spans="5:7" x14ac:dyDescent="0.3">
      <c r="E138" s="55">
        <v>5.05</v>
      </c>
      <c r="F138" s="273">
        <v>29</v>
      </c>
      <c r="G138" s="56">
        <v>12400</v>
      </c>
    </row>
    <row r="139" spans="5:7" x14ac:dyDescent="0.3">
      <c r="E139" s="55">
        <v>5.0999999999999996</v>
      </c>
      <c r="F139" s="273">
        <v>29</v>
      </c>
      <c r="G139" s="56">
        <v>12400</v>
      </c>
    </row>
    <row r="140" spans="5:7" x14ac:dyDescent="0.3">
      <c r="E140" s="55">
        <v>5.15</v>
      </c>
      <c r="F140" s="273">
        <v>29</v>
      </c>
      <c r="G140" s="56">
        <v>12400</v>
      </c>
    </row>
    <row r="141" spans="5:7" x14ac:dyDescent="0.3">
      <c r="E141" s="55">
        <v>5.2</v>
      </c>
      <c r="F141" s="273">
        <v>29</v>
      </c>
      <c r="G141" s="56">
        <v>12400</v>
      </c>
    </row>
    <row r="142" spans="5:7" x14ac:dyDescent="0.3">
      <c r="E142" s="55">
        <v>5.25</v>
      </c>
      <c r="F142" s="273">
        <v>29</v>
      </c>
      <c r="G142" s="56">
        <v>12400</v>
      </c>
    </row>
    <row r="143" spans="5:7" x14ac:dyDescent="0.3">
      <c r="E143" s="55">
        <v>5.3</v>
      </c>
      <c r="F143" s="273">
        <v>29</v>
      </c>
      <c r="G143" s="56">
        <v>12400</v>
      </c>
    </row>
    <row r="144" spans="5:7" x14ac:dyDescent="0.3">
      <c r="E144" s="55">
        <v>5.35</v>
      </c>
      <c r="F144" s="273">
        <v>29</v>
      </c>
      <c r="G144" s="56">
        <v>12400</v>
      </c>
    </row>
    <row r="145" spans="5:7" x14ac:dyDescent="0.3">
      <c r="E145" s="55">
        <v>5.4</v>
      </c>
      <c r="F145" s="273">
        <v>29</v>
      </c>
      <c r="G145" s="56">
        <v>12400</v>
      </c>
    </row>
    <row r="146" spans="5:7" x14ac:dyDescent="0.3">
      <c r="E146" s="55">
        <v>5.45</v>
      </c>
      <c r="F146" s="273">
        <v>29</v>
      </c>
      <c r="G146" s="56">
        <v>12400</v>
      </c>
    </row>
    <row r="147" spans="5:7" x14ac:dyDescent="0.3">
      <c r="E147" s="55">
        <v>5.5</v>
      </c>
      <c r="F147" s="273">
        <v>29</v>
      </c>
      <c r="G147" s="56">
        <v>12400</v>
      </c>
    </row>
    <row r="148" spans="5:7" x14ac:dyDescent="0.3">
      <c r="E148" s="55">
        <v>5.55</v>
      </c>
      <c r="F148" s="273">
        <v>29</v>
      </c>
      <c r="G148" s="56">
        <v>12400</v>
      </c>
    </row>
    <row r="149" spans="5:7" x14ac:dyDescent="0.3">
      <c r="E149" s="55">
        <v>5.6</v>
      </c>
      <c r="F149" s="273">
        <v>29</v>
      </c>
      <c r="G149" s="56">
        <v>12400</v>
      </c>
    </row>
    <row r="150" spans="5:7" x14ac:dyDescent="0.3">
      <c r="E150" s="55">
        <v>5.65</v>
      </c>
      <c r="F150" s="273">
        <v>29</v>
      </c>
      <c r="G150" s="56">
        <v>12400</v>
      </c>
    </row>
    <row r="151" spans="5:7" x14ac:dyDescent="0.3">
      <c r="E151" s="55">
        <v>5.7</v>
      </c>
      <c r="F151" s="273">
        <v>29</v>
      </c>
      <c r="G151" s="56">
        <v>12400</v>
      </c>
    </row>
    <row r="152" spans="5:7" x14ac:dyDescent="0.3">
      <c r="E152" s="55">
        <v>5.75</v>
      </c>
      <c r="F152" s="273">
        <v>29</v>
      </c>
      <c r="G152" s="56">
        <v>12400</v>
      </c>
    </row>
    <row r="153" spans="5:7" x14ac:dyDescent="0.3">
      <c r="E153" s="55">
        <v>5.8</v>
      </c>
      <c r="F153" s="273">
        <v>29</v>
      </c>
      <c r="G153" s="56">
        <v>12400</v>
      </c>
    </row>
    <row r="154" spans="5:7" x14ac:dyDescent="0.3">
      <c r="E154" s="55">
        <v>5.85</v>
      </c>
      <c r="F154" s="273">
        <v>29</v>
      </c>
      <c r="G154" s="56">
        <v>12400</v>
      </c>
    </row>
    <row r="155" spans="5:7" x14ac:dyDescent="0.3">
      <c r="E155" s="55">
        <v>5.9</v>
      </c>
      <c r="F155" s="273">
        <v>29</v>
      </c>
      <c r="G155" s="56">
        <v>12400</v>
      </c>
    </row>
    <row r="156" spans="5:7" x14ac:dyDescent="0.3">
      <c r="E156" s="55">
        <v>5.95</v>
      </c>
      <c r="F156" s="273">
        <v>29</v>
      </c>
      <c r="G156" s="56">
        <v>12400</v>
      </c>
    </row>
    <row r="157" spans="5:7" x14ac:dyDescent="0.3">
      <c r="E157" s="55">
        <v>6</v>
      </c>
      <c r="F157" s="273">
        <v>29</v>
      </c>
      <c r="G157" s="56">
        <v>12400</v>
      </c>
    </row>
  </sheetData>
  <sheetProtection algorithmName="SHA-512" hashValue="H2JZQ5s15Q0N0i7rP4+xzzRc74ivDho+ZAeuwm76U1QUvhUuqvdzWh/R+P3ZltoXlt/0SBb0F9TZP+khDYOobg==" saltValue="cU8Ex11Wzg6bAPej7SgPig==" spinCount="100000" sheet="1" objects="1" scenarios="1"/>
  <mergeCells count="2">
    <mergeCell ref="B2:I2"/>
    <mergeCell ref="B4:C4"/>
  </mergeCells>
  <phoneticPr fontId="32" type="noConversion"/>
  <pageMargins left="0.23622047244094491" right="0.23622047244094491" top="0.74803149606299213" bottom="0.74803149606299213" header="0.31496062992125984" footer="0.31496062992125984"/>
  <pageSetup paperSize="9" fitToWidth="0" fitToHeight="0" orientation="portrait" horizontalDpi="1200" verticalDpi="1200" r:id="rId1"/>
  <headerFooter>
    <oddFooter>&amp;R&amp;"-,Italic"&amp;K03+000Page &amp;P of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E57B8-F9CC-455B-9C5C-B7AA3BDC06DD}">
  <sheetPr>
    <tabColor theme="9" tint="0.59999389629810485"/>
    <pageSetUpPr fitToPage="1"/>
  </sheetPr>
  <dimension ref="A1:K8"/>
  <sheetViews>
    <sheetView zoomScaleNormal="100" workbookViewId="0">
      <selection activeCell="B4" sqref="B4:C4"/>
    </sheetView>
  </sheetViews>
  <sheetFormatPr defaultRowHeight="14.4" x14ac:dyDescent="0.3"/>
  <cols>
    <col min="1" max="1" width="3" customWidth="1"/>
    <col min="2" max="2" width="27.77734375" customWidth="1"/>
    <col min="10" max="11" width="3" customWidth="1"/>
  </cols>
  <sheetData>
    <row r="1" spans="1:11" ht="15" thickBot="1" x14ac:dyDescent="0.35"/>
    <row r="2" spans="1:11" ht="24" thickBot="1" x14ac:dyDescent="0.5">
      <c r="B2" s="553" t="s">
        <v>303</v>
      </c>
      <c r="C2" s="554"/>
      <c r="D2" s="554"/>
      <c r="E2" s="554"/>
      <c r="F2" s="554"/>
      <c r="G2" s="554"/>
      <c r="H2" s="554"/>
      <c r="I2" s="555"/>
    </row>
    <row r="3" spans="1:11" x14ac:dyDescent="0.3">
      <c r="A3" s="160"/>
      <c r="B3" s="161" t="s">
        <v>302</v>
      </c>
      <c r="C3" s="160"/>
      <c r="D3" s="160"/>
      <c r="E3" s="160"/>
      <c r="F3" s="160"/>
      <c r="G3" s="160"/>
      <c r="H3" s="160"/>
      <c r="I3" s="160"/>
      <c r="J3" s="160"/>
      <c r="K3" s="160"/>
    </row>
    <row r="4" spans="1:11" x14ac:dyDescent="0.3">
      <c r="B4" s="605" t="s">
        <v>389</v>
      </c>
      <c r="C4" s="605"/>
    </row>
    <row r="7" spans="1:11" x14ac:dyDescent="0.3">
      <c r="B7" s="15"/>
    </row>
    <row r="8" spans="1:11" x14ac:dyDescent="0.3">
      <c r="B8" s="15"/>
    </row>
  </sheetData>
  <sheetProtection algorithmName="SHA-512" hashValue="WIfIlE0mE2uncqp4ivZZWoiMBu3eVLh0KPcVRbjSW6lb1BKG8naNwWgAkCRY3tb5VRybBac1UAS4m50bHyTToA==" saltValue="cK4SSdxNVuWhif84nLEylw==" spinCount="100000" sheet="1" objects="1" scenarios="1"/>
  <mergeCells count="2">
    <mergeCell ref="B2:I2"/>
    <mergeCell ref="B4:C4"/>
  </mergeCells>
  <pageMargins left="0.7" right="0.7" top="0.75" bottom="0.75" header="0.3" footer="0.3"/>
  <pageSetup scale="97" fitToHeight="0" orientation="portrait" r:id="rId1"/>
  <rowBreaks count="1" manualBreakCount="1">
    <brk id="44" max="16383" man="1"/>
  </rowBreaks>
  <colBreaks count="1" manualBreakCount="1">
    <brk id="10" max="1048575" man="1"/>
  </col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3AC0A-4577-4B49-A309-497CD6704D16}">
  <sheetPr>
    <tabColor theme="1"/>
  </sheetPr>
  <dimension ref="A1:HT149"/>
  <sheetViews>
    <sheetView zoomScaleNormal="100" workbookViewId="0">
      <pane xSplit="1" ySplit="18" topLeftCell="B19" activePane="bottomRight" state="frozen"/>
      <selection pane="topRight" activeCell="C1" sqref="C1"/>
      <selection pane="bottomLeft" activeCell="A19" sqref="A19"/>
      <selection pane="bottomRight" activeCell="F21" sqref="F21"/>
    </sheetView>
  </sheetViews>
  <sheetFormatPr defaultColWidth="9.21875" defaultRowHeight="14.4" outlineLevelCol="1" x14ac:dyDescent="0.3"/>
  <cols>
    <col min="1" max="1" width="9.21875" style="507" customWidth="1"/>
    <col min="2" max="2" width="11.21875" style="507" customWidth="1"/>
    <col min="3" max="3" width="14.21875" style="507" customWidth="1"/>
    <col min="4" max="5" width="9.21875" style="507" customWidth="1"/>
    <col min="6" max="6" width="9.21875" style="507"/>
    <col min="7" max="7" width="9.21875" style="509"/>
    <col min="8" max="8" width="12.77734375" style="507" customWidth="1"/>
    <col min="9" max="9" width="13" style="507" customWidth="1"/>
    <col min="10" max="10" width="14.21875" style="507" customWidth="1"/>
    <col min="11" max="21" width="9.21875" style="507"/>
    <col min="22" max="22" width="9.21875" style="507" customWidth="1" outlineLevel="1"/>
    <col min="23" max="23" width="10.5546875" style="507" customWidth="1" outlineLevel="1"/>
    <col min="24" max="31" width="9.21875" style="507" customWidth="1" outlineLevel="1"/>
    <col min="32" max="32" width="2.77734375" style="507" customWidth="1"/>
    <col min="33" max="33" width="9.21875" style="507" customWidth="1" outlineLevel="1"/>
    <col min="34" max="34" width="12.77734375" style="507" customWidth="1" outlineLevel="1"/>
    <col min="35" max="35" width="11.21875" style="507" customWidth="1" outlineLevel="1"/>
    <col min="36" max="36" width="2.77734375" style="507" customWidth="1"/>
    <col min="37" max="37" width="9.21875" style="507" customWidth="1" outlineLevel="1"/>
    <col min="38" max="38" width="10.5546875" style="507" customWidth="1" outlineLevel="1"/>
    <col min="39" max="69" width="9.21875" style="507" customWidth="1" outlineLevel="1"/>
    <col min="70" max="70" width="2.77734375" style="507" customWidth="1"/>
    <col min="71" max="75" width="12.21875" style="507" customWidth="1" outlineLevel="1"/>
    <col min="76" max="76" width="15.77734375" style="507" customWidth="1" outlineLevel="1"/>
    <col min="77" max="81" width="15.21875" style="507" customWidth="1" outlineLevel="1"/>
    <col min="82" max="82" width="3.21875" style="507" customWidth="1" outlineLevel="1"/>
    <col min="83" max="87" width="15.21875" style="507" customWidth="1" outlineLevel="1"/>
    <col min="88" max="88" width="3.21875" style="507" customWidth="1" outlineLevel="1"/>
    <col min="89" max="90" width="15.21875" style="507" customWidth="1" outlineLevel="1"/>
    <col min="91" max="92" width="16.5546875" style="507" customWidth="1" outlineLevel="1"/>
    <col min="93" max="93" width="15.21875" style="507" customWidth="1" outlineLevel="1"/>
    <col min="94" max="94" width="3.21875" style="507" customWidth="1" outlineLevel="1"/>
    <col min="95" max="96" width="15.21875" style="507" customWidth="1" outlineLevel="1"/>
    <col min="97" max="97" width="16.21875" style="507" customWidth="1" outlineLevel="1"/>
    <col min="98" max="99" width="15.21875" style="507" customWidth="1" outlineLevel="1"/>
    <col min="100" max="100" width="3.21875" style="507" customWidth="1" outlineLevel="1"/>
    <col min="101" max="103" width="15.21875" style="507" customWidth="1" outlineLevel="1"/>
    <col min="104" max="104" width="17.21875" style="507" customWidth="1" outlineLevel="1"/>
    <col min="105" max="105" width="15.21875" style="507" customWidth="1" outlineLevel="1"/>
    <col min="106" max="106" width="2.77734375" style="507" customWidth="1"/>
    <col min="107" max="107" width="23.21875" style="507" customWidth="1" outlineLevel="1"/>
    <col min="108" max="127" width="9.21875" style="507" customWidth="1" outlineLevel="1"/>
    <col min="128" max="128" width="2.77734375" style="507" customWidth="1"/>
    <col min="129" max="129" width="29.77734375" style="507" customWidth="1" outlineLevel="1"/>
    <col min="130" max="130" width="15.5546875" style="507" customWidth="1" outlineLevel="1"/>
    <col min="131" max="131" width="8.77734375" style="507" customWidth="1" outlineLevel="1"/>
    <col min="132" max="132" width="12.77734375" style="507" customWidth="1" outlineLevel="1"/>
    <col min="133" max="133" width="8.77734375" style="507" customWidth="1" outlineLevel="1"/>
    <col min="134" max="134" width="12.21875" style="507" customWidth="1" outlineLevel="1"/>
    <col min="135" max="135" width="8.77734375" style="507" customWidth="1" outlineLevel="1"/>
    <col min="136" max="136" width="13.21875" style="507" customWidth="1" outlineLevel="1"/>
    <col min="137" max="137" width="8.77734375" style="507" customWidth="1" outlineLevel="1"/>
    <col min="138" max="138" width="10.21875" style="507" customWidth="1" outlineLevel="1"/>
    <col min="139" max="139" width="8.77734375" style="507" customWidth="1" outlineLevel="1"/>
    <col min="140" max="140" width="11.77734375" style="507" customWidth="1" outlineLevel="1"/>
    <col min="141" max="141" width="8.77734375" style="507" customWidth="1" outlineLevel="1"/>
    <col min="142" max="142" width="12.21875" style="507" customWidth="1" outlineLevel="1"/>
    <col min="143" max="143" width="8.77734375" style="507" customWidth="1" outlineLevel="1"/>
    <col min="144" max="144" width="10.77734375" style="507" customWidth="1" outlineLevel="1"/>
    <col min="145" max="145" width="8.77734375" style="507" customWidth="1" outlineLevel="1"/>
    <col min="146" max="146" width="12.21875" style="507" customWidth="1" outlineLevel="1"/>
    <col min="147" max="147" width="8.77734375" style="507" customWidth="1" outlineLevel="1"/>
    <col min="148" max="148" width="11" style="507" customWidth="1" outlineLevel="1"/>
    <col min="149" max="149" width="8.77734375" style="507" customWidth="1" outlineLevel="1"/>
    <col min="150" max="150" width="9.88671875" style="507" bestFit="1" customWidth="1" outlineLevel="1"/>
    <col min="151" max="153" width="8.77734375" style="507" customWidth="1" outlineLevel="1"/>
    <col min="154" max="154" width="9.88671875" style="507" bestFit="1" customWidth="1" outlineLevel="1"/>
    <col min="155" max="155" width="8.77734375" style="507" customWidth="1" outlineLevel="1"/>
    <col min="156" max="156" width="9.88671875" style="507" bestFit="1" customWidth="1" outlineLevel="1"/>
    <col min="157" max="161" width="8.77734375" style="507" customWidth="1" outlineLevel="1"/>
    <col min="162" max="162" width="9.88671875" style="507" bestFit="1" customWidth="1" outlineLevel="1"/>
    <col min="163" max="163" width="8.77734375" style="507" customWidth="1" outlineLevel="1"/>
    <col min="164" max="164" width="9.88671875" style="507" bestFit="1" customWidth="1" outlineLevel="1"/>
    <col min="165" max="169" width="8.77734375" style="507" customWidth="1" outlineLevel="1"/>
    <col min="170" max="170" width="9.88671875" style="507" bestFit="1" customWidth="1" outlineLevel="1"/>
    <col min="171" max="209" width="8.77734375" style="507" customWidth="1" outlineLevel="1"/>
    <col min="210" max="210" width="21.77734375" style="507" customWidth="1" outlineLevel="1"/>
    <col min="211" max="211" width="2.77734375" style="507" customWidth="1" outlineLevel="1"/>
    <col min="212" max="212" width="2.77734375" style="507" customWidth="1"/>
    <col min="213" max="213" width="2.77734375" style="507" customWidth="1" outlineLevel="1"/>
    <col min="214" max="214" width="58.21875" style="507" customWidth="1" outlineLevel="1"/>
    <col min="215" max="215" width="25.21875" style="507" customWidth="1" outlineLevel="1"/>
    <col min="216" max="217" width="22.21875" style="507" customWidth="1" outlineLevel="1"/>
    <col min="218" max="218" width="20.77734375" style="507" customWidth="1" outlineLevel="1"/>
    <col min="219" max="220" width="19.77734375" style="507" customWidth="1" outlineLevel="1"/>
    <col min="221" max="221" width="20.77734375" style="507" customWidth="1" outlineLevel="1"/>
    <col min="222" max="223" width="19.77734375" style="507" customWidth="1" outlineLevel="1"/>
    <col min="224" max="224" width="20.77734375" style="507" customWidth="1" outlineLevel="1"/>
    <col min="225" max="225" width="15.21875" style="507" customWidth="1" outlineLevel="1"/>
    <col min="226" max="226" width="2.77734375" style="507" customWidth="1" outlineLevel="1"/>
    <col min="227" max="227" width="2.77734375" style="507" customWidth="1"/>
    <col min="228" max="228" width="9.21875" style="507"/>
    <col min="229" max="16384" width="9.21875" style="54"/>
  </cols>
  <sheetData>
    <row r="1" spans="1:228" ht="15" thickBot="1" x14ac:dyDescent="0.35">
      <c r="A1" s="287"/>
      <c r="B1" s="287"/>
      <c r="C1" s="287"/>
      <c r="D1" s="287"/>
      <c r="E1" s="287"/>
      <c r="F1" s="287"/>
      <c r="G1" s="288"/>
      <c r="H1" s="287"/>
      <c r="I1" s="287"/>
      <c r="J1" s="287"/>
      <c r="K1" s="287"/>
      <c r="L1" s="287"/>
      <c r="M1" s="287"/>
      <c r="N1" s="287"/>
      <c r="O1" s="287"/>
      <c r="P1" s="287"/>
      <c r="Q1" s="287"/>
      <c r="R1" s="287"/>
      <c r="S1" s="287"/>
      <c r="T1" s="287"/>
      <c r="U1" s="287"/>
      <c r="V1" s="287"/>
      <c r="W1" s="287"/>
      <c r="X1" s="287"/>
      <c r="Y1" s="287"/>
      <c r="Z1" s="287"/>
      <c r="AA1" s="287"/>
      <c r="AB1" s="287"/>
      <c r="AC1" s="287"/>
      <c r="AD1" s="287"/>
      <c r="AE1" s="287"/>
      <c r="AF1" s="59"/>
      <c r="AG1" s="53"/>
      <c r="AH1" s="53"/>
      <c r="AI1" s="53"/>
      <c r="AJ1" s="59"/>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9"/>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9"/>
      <c r="DC1" s="53"/>
      <c r="DD1" s="53"/>
      <c r="DE1" s="53"/>
      <c r="DF1" s="53"/>
      <c r="DG1" s="53"/>
      <c r="DH1" s="53"/>
      <c r="DI1" s="53"/>
      <c r="DJ1" s="53"/>
      <c r="DK1" s="53"/>
      <c r="DL1" s="53"/>
      <c r="DM1" s="53"/>
      <c r="DN1" s="53"/>
      <c r="DO1" s="53"/>
      <c r="DP1" s="53"/>
      <c r="DQ1" s="53"/>
      <c r="DR1" s="53"/>
      <c r="DS1" s="53"/>
      <c r="DT1" s="53"/>
      <c r="DU1" s="53"/>
      <c r="DV1" s="53"/>
      <c r="DW1" s="53"/>
      <c r="DX1" s="59"/>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135"/>
      <c r="HA1" s="135"/>
      <c r="HB1" s="54"/>
      <c r="HC1" s="53"/>
      <c r="HD1" s="59"/>
      <c r="HE1" s="53"/>
      <c r="HF1" s="54"/>
      <c r="HG1" s="53"/>
      <c r="HH1" s="53"/>
      <c r="HI1" s="53"/>
      <c r="HJ1" s="53"/>
      <c r="HK1" s="53"/>
      <c r="HL1" s="53"/>
      <c r="HM1" s="53"/>
      <c r="HN1" s="53"/>
      <c r="HO1" s="53"/>
      <c r="HP1" s="53"/>
      <c r="HQ1" s="54"/>
      <c r="HR1" s="506"/>
      <c r="HS1" s="505"/>
    </row>
    <row r="2" spans="1:228" ht="24" thickBot="1" x14ac:dyDescent="0.35">
      <c r="A2" s="598" t="s">
        <v>66</v>
      </c>
      <c r="B2" s="599"/>
      <c r="C2" s="599"/>
      <c r="D2" s="599"/>
      <c r="E2" s="599"/>
      <c r="F2" s="599"/>
      <c r="G2" s="599"/>
      <c r="H2" s="599"/>
      <c r="I2" s="599"/>
      <c r="J2" s="599"/>
      <c r="K2" s="599"/>
      <c r="L2" s="599"/>
      <c r="M2" s="599"/>
      <c r="N2" s="599"/>
      <c r="O2" s="599"/>
      <c r="P2" s="599"/>
      <c r="Q2" s="599"/>
      <c r="R2" s="599"/>
      <c r="S2" s="599"/>
      <c r="T2" s="599"/>
      <c r="U2" s="599"/>
      <c r="V2" s="599"/>
      <c r="W2" s="599"/>
      <c r="X2" s="599"/>
      <c r="Y2" s="599"/>
      <c r="Z2" s="599"/>
      <c r="AA2" s="599"/>
      <c r="AB2" s="599"/>
      <c r="AC2" s="599"/>
      <c r="AD2" s="599"/>
      <c r="AE2" s="600"/>
      <c r="AF2" s="154"/>
      <c r="AG2" s="598" t="s">
        <v>301</v>
      </c>
      <c r="AH2" s="599"/>
      <c r="AI2" s="600"/>
      <c r="AJ2" s="54"/>
      <c r="AK2" s="598" t="s">
        <v>138</v>
      </c>
      <c r="AL2" s="599"/>
      <c r="AM2" s="599"/>
      <c r="AN2" s="599"/>
      <c r="AO2" s="599"/>
      <c r="AP2" s="599"/>
      <c r="AQ2" s="599"/>
      <c r="AR2" s="599"/>
      <c r="AS2" s="599"/>
      <c r="AT2" s="599"/>
      <c r="AU2" s="599"/>
      <c r="AV2" s="599"/>
      <c r="AW2" s="599"/>
      <c r="AX2" s="599"/>
      <c r="AY2" s="599"/>
      <c r="AZ2" s="599"/>
      <c r="BA2" s="599"/>
      <c r="BB2" s="599"/>
      <c r="BC2" s="599"/>
      <c r="BD2" s="599"/>
      <c r="BE2" s="599"/>
      <c r="BF2" s="599"/>
      <c r="BG2" s="599"/>
      <c r="BH2" s="599"/>
      <c r="BI2" s="599"/>
      <c r="BJ2" s="599"/>
      <c r="BK2" s="599"/>
      <c r="BL2" s="599"/>
      <c r="BM2" s="599"/>
      <c r="BN2" s="599"/>
      <c r="BO2" s="599"/>
      <c r="BP2" s="599"/>
      <c r="BQ2" s="600"/>
      <c r="BR2" s="54"/>
      <c r="BS2" s="703" t="s">
        <v>88</v>
      </c>
      <c r="BT2" s="704"/>
      <c r="BU2" s="704"/>
      <c r="BV2" s="704"/>
      <c r="BW2" s="704"/>
      <c r="BX2" s="704"/>
      <c r="BY2" s="704"/>
      <c r="BZ2" s="704"/>
      <c r="CA2" s="704"/>
      <c r="CB2" s="704"/>
      <c r="CC2" s="704"/>
      <c r="CD2" s="704"/>
      <c r="CE2" s="704"/>
      <c r="CF2" s="704"/>
      <c r="CG2" s="704"/>
      <c r="CH2" s="704"/>
      <c r="CI2" s="704"/>
      <c r="CJ2" s="704"/>
      <c r="CK2" s="704"/>
      <c r="CL2" s="704"/>
      <c r="CM2" s="704"/>
      <c r="CN2" s="704"/>
      <c r="CO2" s="704"/>
      <c r="CP2" s="704"/>
      <c r="CQ2" s="704"/>
      <c r="CR2" s="704"/>
      <c r="CS2" s="704"/>
      <c r="CT2" s="704"/>
      <c r="CU2" s="704"/>
      <c r="CV2" s="704"/>
      <c r="CW2" s="704"/>
      <c r="CX2" s="704"/>
      <c r="CY2" s="704"/>
      <c r="CZ2" s="704"/>
      <c r="DA2" s="705"/>
      <c r="DB2" s="54"/>
      <c r="DC2" s="598" t="s">
        <v>113</v>
      </c>
      <c r="DD2" s="599"/>
      <c r="DE2" s="599"/>
      <c r="DF2" s="599"/>
      <c r="DG2" s="599"/>
      <c r="DH2" s="599"/>
      <c r="DI2" s="599"/>
      <c r="DJ2" s="599"/>
      <c r="DK2" s="599"/>
      <c r="DL2" s="599"/>
      <c r="DM2" s="599"/>
      <c r="DN2" s="599"/>
      <c r="DO2" s="599"/>
      <c r="DP2" s="599"/>
      <c r="DQ2" s="599"/>
      <c r="DR2" s="599"/>
      <c r="DS2" s="599"/>
      <c r="DT2" s="599"/>
      <c r="DU2" s="599"/>
      <c r="DV2" s="599"/>
      <c r="DW2" s="600"/>
      <c r="DX2" s="54"/>
      <c r="DY2" s="598" t="s">
        <v>118</v>
      </c>
      <c r="DZ2" s="599"/>
      <c r="EA2" s="599"/>
      <c r="EB2" s="599"/>
      <c r="EC2" s="599"/>
      <c r="ED2" s="599"/>
      <c r="EE2" s="599"/>
      <c r="EF2" s="599"/>
      <c r="EG2" s="599"/>
      <c r="EH2" s="599"/>
      <c r="EI2" s="599"/>
      <c r="EJ2" s="599"/>
      <c r="EK2" s="599"/>
      <c r="EL2" s="599"/>
      <c r="EM2" s="599"/>
      <c r="EN2" s="599"/>
      <c r="EO2" s="599"/>
      <c r="EP2" s="599"/>
      <c r="EQ2" s="599"/>
      <c r="ER2" s="599"/>
      <c r="ES2" s="599"/>
      <c r="ET2" s="599"/>
      <c r="EU2" s="599"/>
      <c r="EV2" s="599"/>
      <c r="EW2" s="599"/>
      <c r="EX2" s="599"/>
      <c r="EY2" s="599"/>
      <c r="EZ2" s="599"/>
      <c r="FA2" s="599"/>
      <c r="FB2" s="599"/>
      <c r="FC2" s="599"/>
      <c r="FD2" s="599"/>
      <c r="FE2" s="599"/>
      <c r="FF2" s="599"/>
      <c r="FG2" s="599"/>
      <c r="FH2" s="599"/>
      <c r="FI2" s="599"/>
      <c r="FJ2" s="599"/>
      <c r="FK2" s="599"/>
      <c r="FL2" s="599"/>
      <c r="FM2" s="599"/>
      <c r="FN2" s="599"/>
      <c r="FO2" s="599"/>
      <c r="FP2" s="599"/>
      <c r="FQ2" s="599"/>
      <c r="FR2" s="599"/>
      <c r="FS2" s="599"/>
      <c r="FT2" s="599"/>
      <c r="FU2" s="599"/>
      <c r="FV2" s="599"/>
      <c r="FW2" s="599"/>
      <c r="FX2" s="599"/>
      <c r="FY2" s="599"/>
      <c r="FZ2" s="599"/>
      <c r="GA2" s="599"/>
      <c r="GB2" s="599"/>
      <c r="GC2" s="599"/>
      <c r="GD2" s="599"/>
      <c r="GE2" s="599"/>
      <c r="GF2" s="599"/>
      <c r="GG2" s="599"/>
      <c r="GH2" s="599"/>
      <c r="GI2" s="599"/>
      <c r="GJ2" s="599"/>
      <c r="GK2" s="599"/>
      <c r="GL2" s="599"/>
      <c r="GM2" s="599"/>
      <c r="GN2" s="599"/>
      <c r="GO2" s="599"/>
      <c r="GP2" s="599"/>
      <c r="GQ2" s="599"/>
      <c r="GR2" s="599"/>
      <c r="GS2" s="599"/>
      <c r="GT2" s="599"/>
      <c r="GU2" s="599"/>
      <c r="GV2" s="599"/>
      <c r="GW2" s="599"/>
      <c r="GX2" s="599"/>
      <c r="GY2" s="599"/>
      <c r="GZ2" s="599"/>
      <c r="HA2" s="599"/>
      <c r="HB2" s="600"/>
      <c r="HC2" s="54"/>
      <c r="HD2" s="54"/>
      <c r="HE2" s="54"/>
      <c r="HF2" s="598" t="s">
        <v>361</v>
      </c>
      <c r="HG2" s="599"/>
      <c r="HH2" s="599"/>
      <c r="HI2" s="599"/>
      <c r="HJ2" s="599"/>
      <c r="HK2" s="599"/>
      <c r="HL2" s="599"/>
      <c r="HM2" s="599"/>
      <c r="HN2" s="599"/>
      <c r="HO2" s="599"/>
      <c r="HP2" s="599"/>
      <c r="HQ2" s="600"/>
    </row>
    <row r="3" spans="1:228" s="154" customFormat="1" ht="15" thickBot="1" x14ac:dyDescent="0.35">
      <c r="B3" s="718" t="s">
        <v>543</v>
      </c>
      <c r="C3" s="718"/>
      <c r="D3" s="718"/>
      <c r="E3" s="718"/>
      <c r="F3" s="718"/>
      <c r="G3" s="718"/>
      <c r="H3" s="718"/>
      <c r="I3" s="718"/>
      <c r="J3" s="718"/>
      <c r="K3" s="718"/>
      <c r="L3" s="718"/>
      <c r="M3" s="718"/>
      <c r="N3" s="718"/>
      <c r="O3" s="718"/>
      <c r="P3" s="718"/>
      <c r="Q3" s="718"/>
      <c r="R3" s="718"/>
      <c r="S3" s="718"/>
      <c r="T3" s="718"/>
      <c r="U3" s="718"/>
      <c r="AG3" s="155" t="s">
        <v>379</v>
      </c>
      <c r="AK3" s="155" t="s">
        <v>178</v>
      </c>
      <c r="BS3" s="155" t="s">
        <v>121</v>
      </c>
      <c r="DC3" s="155" t="s">
        <v>119</v>
      </c>
      <c r="DY3" s="155" t="s">
        <v>120</v>
      </c>
      <c r="HR3" s="508"/>
      <c r="HS3" s="508"/>
      <c r="HT3" s="508"/>
    </row>
    <row r="4" spans="1:228" ht="15" thickBot="1" x14ac:dyDescent="0.35">
      <c r="A4" s="60"/>
      <c r="B4" s="60" t="s">
        <v>391</v>
      </c>
      <c r="C4" s="54"/>
      <c r="D4" s="54"/>
      <c r="E4" s="54"/>
      <c r="F4" s="54"/>
      <c r="G4" s="58"/>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275" t="s">
        <v>227</v>
      </c>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657" t="str">
        <f>$DD$16&amp;" - "&amp;$BS$18</f>
        <v>Floor Level - Structural</v>
      </c>
      <c r="BZ4" s="658"/>
      <c r="CA4" s="658"/>
      <c r="CB4" s="658"/>
      <c r="CC4" s="659"/>
      <c r="CD4" s="78"/>
      <c r="CE4" s="657" t="str">
        <f>$DD$16&amp;" - "&amp;$BT$18</f>
        <v>Floor Level - Internal</v>
      </c>
      <c r="CF4" s="658"/>
      <c r="CG4" s="658"/>
      <c r="CH4" s="658"/>
      <c r="CI4" s="659"/>
      <c r="CJ4" s="78"/>
      <c r="CK4" s="665" t="str">
        <f>$DN$16&amp;" - "&amp;$BU$18</f>
        <v>Ground Level - External</v>
      </c>
      <c r="CL4" s="666"/>
      <c r="CM4" s="666"/>
      <c r="CN4" s="666"/>
      <c r="CO4" s="667"/>
      <c r="CP4" s="89"/>
      <c r="CQ4" s="660" t="str">
        <f>$BV$18</f>
        <v>Risk to Life</v>
      </c>
      <c r="CR4" s="661"/>
      <c r="CS4" s="661"/>
      <c r="CT4" s="661"/>
      <c r="CU4" s="662"/>
      <c r="CV4" s="54"/>
      <c r="CW4" s="668" t="s">
        <v>122</v>
      </c>
      <c r="CX4" s="669"/>
      <c r="CY4" s="669"/>
      <c r="CZ4" s="669"/>
      <c r="DA4" s="670"/>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row>
    <row r="5" spans="1:228" ht="28.95" customHeight="1" x14ac:dyDescent="0.3">
      <c r="A5" s="54"/>
      <c r="B5" s="656" t="s">
        <v>67</v>
      </c>
      <c r="C5" s="656"/>
      <c r="D5" s="671" t="s">
        <v>334</v>
      </c>
      <c r="E5" s="671"/>
      <c r="F5" s="671"/>
      <c r="G5" s="671"/>
      <c r="H5" s="671"/>
      <c r="I5" s="671"/>
      <c r="J5" s="671"/>
      <c r="K5" s="286"/>
      <c r="L5" s="210"/>
      <c r="M5" s="210"/>
      <c r="N5" s="210"/>
      <c r="O5" s="210"/>
      <c r="P5" s="210"/>
      <c r="Q5" s="210"/>
      <c r="R5" s="210"/>
      <c r="S5" s="210"/>
      <c r="T5" s="210"/>
      <c r="U5" s="210"/>
      <c r="V5" s="210"/>
      <c r="W5" s="210"/>
      <c r="X5" s="54"/>
      <c r="Y5" s="54"/>
      <c r="Z5" s="54"/>
      <c r="AA5" s="54"/>
      <c r="AB5" s="54"/>
      <c r="AC5" s="54"/>
      <c r="AD5" s="210"/>
      <c r="AE5" s="210"/>
      <c r="AF5" s="54"/>
      <c r="AG5" s="130" t="s">
        <v>5</v>
      </c>
      <c r="AH5" s="126" t="s">
        <v>2</v>
      </c>
      <c r="AI5" s="127" t="s">
        <v>3</v>
      </c>
      <c r="AJ5" s="54"/>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54"/>
      <c r="BS5" s="655" t="s">
        <v>289</v>
      </c>
      <c r="BT5" s="655"/>
      <c r="BU5" s="655"/>
      <c r="BV5" s="655"/>
      <c r="BW5" s="655"/>
      <c r="BX5" s="54"/>
      <c r="BY5" s="138" t="s">
        <v>79</v>
      </c>
      <c r="BZ5" s="139" t="s">
        <v>89</v>
      </c>
      <c r="CA5" s="139" t="s">
        <v>90</v>
      </c>
      <c r="CB5" s="139" t="s">
        <v>95</v>
      </c>
      <c r="CC5" s="140" t="s">
        <v>117</v>
      </c>
      <c r="CD5" s="141"/>
      <c r="CE5" s="138" t="s">
        <v>79</v>
      </c>
      <c r="CF5" s="139" t="s">
        <v>89</v>
      </c>
      <c r="CG5" s="139" t="s">
        <v>90</v>
      </c>
      <c r="CH5" s="139" t="s">
        <v>95</v>
      </c>
      <c r="CI5" s="140" t="s">
        <v>117</v>
      </c>
      <c r="CJ5" s="141"/>
      <c r="CK5" s="142" t="s">
        <v>79</v>
      </c>
      <c r="CL5" s="143" t="s">
        <v>112</v>
      </c>
      <c r="CM5" s="143" t="s">
        <v>114</v>
      </c>
      <c r="CN5" s="143" t="s">
        <v>111</v>
      </c>
      <c r="CO5" s="144" t="s">
        <v>93</v>
      </c>
      <c r="CP5" s="145"/>
      <c r="CQ5" s="142" t="s">
        <v>79</v>
      </c>
      <c r="CR5" s="139" t="s">
        <v>112</v>
      </c>
      <c r="CS5" s="139" t="s">
        <v>114</v>
      </c>
      <c r="CT5" s="139" t="s">
        <v>95</v>
      </c>
      <c r="CU5" s="140" t="s">
        <v>117</v>
      </c>
      <c r="CV5" s="54"/>
      <c r="CW5" s="142" t="s">
        <v>79</v>
      </c>
      <c r="CX5" s="139" t="s">
        <v>105</v>
      </c>
      <c r="CY5" s="139" t="s">
        <v>90</v>
      </c>
      <c r="CZ5" s="139" t="s">
        <v>114</v>
      </c>
      <c r="DA5" s="140" t="s">
        <v>117</v>
      </c>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row>
    <row r="6" spans="1:228" ht="18.600000000000001" thickBot="1" x14ac:dyDescent="0.35">
      <c r="A6" s="54"/>
      <c r="B6" s="656"/>
      <c r="C6" s="656"/>
      <c r="D6" s="671"/>
      <c r="E6" s="671"/>
      <c r="F6" s="671"/>
      <c r="G6" s="671"/>
      <c r="H6" s="671"/>
      <c r="I6" s="671"/>
      <c r="J6" s="671"/>
      <c r="K6" s="286"/>
      <c r="L6" s="210"/>
      <c r="M6" s="210"/>
      <c r="N6" s="210"/>
      <c r="O6" s="210"/>
      <c r="P6" s="210"/>
      <c r="Q6" s="210"/>
      <c r="R6" s="210"/>
      <c r="S6" s="210"/>
      <c r="T6" s="210"/>
      <c r="U6" s="210"/>
      <c r="V6" s="54"/>
      <c r="W6" s="210"/>
      <c r="X6" s="54"/>
      <c r="Y6" s="54"/>
      <c r="Z6" s="54"/>
      <c r="AA6" s="54"/>
      <c r="AB6" s="54"/>
      <c r="AC6" s="54"/>
      <c r="AD6" s="210"/>
      <c r="AE6" s="210"/>
      <c r="AF6" s="54"/>
      <c r="AG6" s="131">
        <f>Properties!$L$10</f>
        <v>1.0000000000000001E-5</v>
      </c>
      <c r="AH6" s="128">
        <f ca="1">Properties!$DA6</f>
        <v>29350888.96249456</v>
      </c>
      <c r="AI6" s="129" cm="1">
        <f t="array" aca="1" ref="AI6" ca="1">IFERROR(((AH6+AH7)/2*(AG7-AG6)),AH6/2)+(_xlfn.IFNA((CX20-CX23)*AWE*VLOOKUP(AG6,SocialWTP,2,TRUE),0))</f>
        <v>44325.759017669276</v>
      </c>
      <c r="AJ6" s="54"/>
      <c r="AK6" s="54"/>
      <c r="AL6" s="54"/>
      <c r="AM6" s="54"/>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54"/>
      <c r="BS6" s="54"/>
      <c r="BT6" s="54"/>
      <c r="BU6" s="54"/>
      <c r="BV6" s="54"/>
      <c r="BW6" s="54"/>
      <c r="BX6" s="54"/>
      <c r="BY6" s="85" t="s">
        <v>73</v>
      </c>
      <c r="BZ6" s="353">
        <f>$DD$11</f>
        <v>119</v>
      </c>
      <c r="CA6" s="86">
        <f>MAX(DD$7,DD$8)</f>
        <v>4.8999999999999995</v>
      </c>
      <c r="CB6" s="86">
        <f>$DD$14</f>
        <v>1.8753497762741462</v>
      </c>
      <c r="CC6" s="80">
        <f ca="1">$DZ$15</f>
        <v>18472151.351965293</v>
      </c>
      <c r="CD6" s="78"/>
      <c r="CE6" s="85" t="s">
        <v>73</v>
      </c>
      <c r="CF6" s="353">
        <f>$DD$11</f>
        <v>119</v>
      </c>
      <c r="CG6" s="86">
        <f>MAX(DD$7,DD$8)</f>
        <v>4.8999999999999995</v>
      </c>
      <c r="CH6" s="86">
        <f>$DD$14</f>
        <v>1.8753497762741462</v>
      </c>
      <c r="CI6" s="80">
        <f ca="1">$EB$15</f>
        <v>9277982.9072007574</v>
      </c>
      <c r="CJ6" s="78"/>
      <c r="CK6" s="123" t="s">
        <v>73</v>
      </c>
      <c r="CL6" s="354">
        <f>$DN$11</f>
        <v>119</v>
      </c>
      <c r="CM6" s="122">
        <f>MAX(DH$7,DH$8)</f>
        <v>1.87</v>
      </c>
      <c r="CN6" s="122">
        <f>$DN$14</f>
        <v>2.4416522972825483</v>
      </c>
      <c r="CO6" s="125">
        <f>$ED$15</f>
        <v>1600754.7033285093</v>
      </c>
      <c r="CP6" s="79"/>
      <c r="CQ6" s="123" t="s">
        <v>73</v>
      </c>
      <c r="CR6" s="354">
        <f>$DN$11</f>
        <v>119</v>
      </c>
      <c r="CS6" s="122">
        <f>MAX(DN$7,DN$8)</f>
        <v>5.3933333333333069</v>
      </c>
      <c r="CT6" s="122">
        <f>$DN$14</f>
        <v>2.4416522972825483</v>
      </c>
      <c r="CU6" s="125">
        <f>$EF$15</f>
        <v>0</v>
      </c>
      <c r="CV6" s="54"/>
      <c r="CW6" s="123" t="s">
        <v>73</v>
      </c>
      <c r="CX6" s="354">
        <f>MAX(SummaryStructural[[#This Row],[Over Floor Flooding]],SummaryInternal[[#This Row],[Over Floor Flooding]],SummaryExternal[[#This Row],[Over Ground Flooding]],SummaryRiskToLife[[#This Row],[Over Ground Flooding]])</f>
        <v>119</v>
      </c>
      <c r="CY6" s="122">
        <f>MAX(SummaryStructural[[#This Row],[Max Over Floor Depth (m)]],SummaryInternal[[#This Row],[Max Over Floor Depth (m)]])</f>
        <v>4.8999999999999995</v>
      </c>
      <c r="CZ6" s="122">
        <f>SummaryExternal[[#This Row],[Max Over Ground Depth (m)]]</f>
        <v>1.87</v>
      </c>
      <c r="DA6" s="125">
        <f ca="1">SUM(SummaryStructural[[#This Row],[Total Damages ]],SummaryInternal[[#This Row],[Total Damages ]],SummaryExternal[[#This Row],[Total Damages]],SummaryRiskToLife[[#This Row],[Total Damages ]])</f>
        <v>29350888.96249456</v>
      </c>
      <c r="DB6" s="54"/>
      <c r="DC6" s="71" t="s">
        <v>94</v>
      </c>
      <c r="DD6" s="663" t="s">
        <v>224</v>
      </c>
      <c r="DE6" s="663"/>
      <c r="DF6" s="663"/>
      <c r="DG6" s="663"/>
      <c r="DH6" s="663"/>
      <c r="DI6" s="663"/>
      <c r="DJ6" s="663"/>
      <c r="DK6" s="663"/>
      <c r="DL6" s="663"/>
      <c r="DM6" s="663"/>
      <c r="DN6" s="664" t="s">
        <v>225</v>
      </c>
      <c r="DO6" s="664"/>
      <c r="DP6" s="664"/>
      <c r="DQ6" s="664"/>
      <c r="DR6" s="664"/>
      <c r="DS6" s="664"/>
      <c r="DT6" s="664"/>
      <c r="DU6" s="664"/>
      <c r="DV6" s="664"/>
      <c r="DW6" s="66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row>
    <row r="7" spans="1:228" ht="15" customHeight="1" thickBot="1" x14ac:dyDescent="0.35">
      <c r="A7" s="54"/>
      <c r="B7" s="54"/>
      <c r="C7" s="54"/>
      <c r="D7" s="54"/>
      <c r="E7" s="54"/>
      <c r="F7" s="54"/>
      <c r="G7" s="58"/>
      <c r="H7" s="54"/>
      <c r="I7" s="54"/>
      <c r="J7" s="54"/>
      <c r="K7" s="634" t="s">
        <v>273</v>
      </c>
      <c r="L7" s="635"/>
      <c r="M7" s="635"/>
      <c r="N7" s="635"/>
      <c r="O7" s="635"/>
      <c r="P7" s="635"/>
      <c r="Q7" s="635"/>
      <c r="R7" s="635"/>
      <c r="S7" s="635"/>
      <c r="T7" s="635"/>
      <c r="U7" s="636"/>
      <c r="V7" s="54"/>
      <c r="W7" s="54"/>
      <c r="X7" s="54"/>
      <c r="Y7" s="54"/>
      <c r="Z7" s="54"/>
      <c r="AA7" s="54"/>
      <c r="AB7" s="54"/>
      <c r="AC7" s="54"/>
      <c r="AD7" s="54"/>
      <c r="AE7" s="54"/>
      <c r="AF7" s="54"/>
      <c r="AG7" s="132">
        <f>Properties!$M$10</f>
        <v>2E-3</v>
      </c>
      <c r="AH7" s="128">
        <f ca="1">Properties!$DA7</f>
        <v>15197612.562801197</v>
      </c>
      <c r="AI7" s="129" cm="1">
        <f t="array" aca="1" ref="AI7" ca="1">IFERROR(((AH7+AH8)/2*(AG8-AG7)),AH7/2)+(_xlfn.IFNA((CX23-CX26)*AWE*VLOOKUP(AG7,SocialWTP,2,TRUE),0))</f>
        <v>41469.484849799657</v>
      </c>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87" t="str">
        <f>TEXT($M$10,"0.0%")&amp;" AEP"</f>
        <v>0.2% AEP</v>
      </c>
      <c r="BZ7" s="353">
        <f>$DE$11</f>
        <v>74</v>
      </c>
      <c r="CA7" s="86">
        <f>MAX(DE$7,DE$8)</f>
        <v>2.8199999999999994</v>
      </c>
      <c r="CB7" s="86">
        <f>$DE$14</f>
        <v>1.0258108108108099</v>
      </c>
      <c r="CC7" s="80">
        <f ca="1">$EH$15</f>
        <v>9021883.8121441137</v>
      </c>
      <c r="CD7" s="54"/>
      <c r="CE7" s="87" t="str">
        <f>TEXT($M$10,"0.0%")&amp;" AEP"</f>
        <v>0.2% AEP</v>
      </c>
      <c r="CF7" s="353">
        <f>$DE$11</f>
        <v>74</v>
      </c>
      <c r="CG7" s="86">
        <f>MAX(DE$7,DE$8)</f>
        <v>2.8199999999999994</v>
      </c>
      <c r="CH7" s="86">
        <f>$DE$14</f>
        <v>1.0258108108108099</v>
      </c>
      <c r="CI7" s="80">
        <f ca="1">$EJ$15</f>
        <v>4983677.3758379798</v>
      </c>
      <c r="CJ7" s="54"/>
      <c r="CK7" s="124" t="str">
        <f>TEXT($M$10,"0.0%")&amp;" AEP"</f>
        <v>0.2% AEP</v>
      </c>
      <c r="CL7" s="354">
        <f>$DO$11</f>
        <v>99</v>
      </c>
      <c r="CM7" s="122">
        <f>MAX(DI$7,DI$8)</f>
        <v>1.4000000000000004</v>
      </c>
      <c r="CN7" s="122">
        <f>$DO$14</f>
        <v>1.2926262626262628</v>
      </c>
      <c r="CO7" s="125">
        <f>$EL$15</f>
        <v>1192051.3748191027</v>
      </c>
      <c r="CP7" s="54"/>
      <c r="CQ7" s="124" t="str">
        <f>TEXT($M$10,"0.0%")&amp;" AEP"</f>
        <v>0.2% AEP</v>
      </c>
      <c r="CR7" s="354">
        <f>$DO$11</f>
        <v>99</v>
      </c>
      <c r="CS7" s="122">
        <f>MAX(DO$7,DO$8)</f>
        <v>3.4299999999999997</v>
      </c>
      <c r="CT7" s="122">
        <f>$DO$14</f>
        <v>1.2926262626262628</v>
      </c>
      <c r="CU7" s="125">
        <f>$EN$15</f>
        <v>0</v>
      </c>
      <c r="CV7" s="54"/>
      <c r="CW7" s="124" t="str">
        <f>TEXT($M$10,"0.0%")&amp;" AEP"</f>
        <v>0.2% AEP</v>
      </c>
      <c r="CX7" s="354">
        <f>MAX(SummaryStructural[[#This Row],[Over Floor Flooding]],SummaryInternal[[#This Row],[Over Floor Flooding]],SummaryExternal[[#This Row],[Over Ground Flooding]],SummaryRiskToLife[[#This Row],[Over Ground Flooding]])</f>
        <v>99</v>
      </c>
      <c r="CY7" s="122">
        <f>MAX(SummaryStructural[[#This Row],[Max Over Floor Depth (m)]],SummaryInternal[[#This Row],[Max Over Floor Depth (m)]])</f>
        <v>2.8199999999999994</v>
      </c>
      <c r="CZ7" s="122">
        <f>SummaryExternal[[#This Row],[Max Over Ground Depth (m)]]</f>
        <v>1.4000000000000004</v>
      </c>
      <c r="DA7" s="125">
        <f ca="1">SUM(SummaryStructural[[#This Row],[Total Damages ]],SummaryInternal[[#This Row],[Total Damages ]],SummaryExternal[[#This Row],[Total Damages]],SummaryRiskToLife[[#This Row],[Total Damages ]])</f>
        <v>15197612.562801197</v>
      </c>
      <c r="DB7" s="54"/>
      <c r="DC7" s="108" t="s">
        <v>222</v>
      </c>
      <c r="DD7" s="109">
        <f>_xlfn.MAXIFS(DD19:DD9999,DD19:DD9999,"&gt;0",$H$19:$H9999,"&gt;=1",$H$19:$H9999,"&lt;=4")</f>
        <v>4.8999999999999995</v>
      </c>
      <c r="DE7" s="109">
        <f>_xlfn.MAXIFS(DE19:DE9999,DE19:DE9999,"&gt;0",$H$19:$H9999,"&gt;=1",$H$19:$H9999,"&lt;=4")</f>
        <v>2.8199999999999994</v>
      </c>
      <c r="DF7" s="109">
        <f>_xlfn.MAXIFS(DF19:DF9999,DF19:DF9999,"&gt;0",$H$19:$H9999,"&gt;=1",$H$19:$H9999,"&lt;=4")</f>
        <v>2.5199999999999996</v>
      </c>
      <c r="DG7" s="109">
        <f>_xlfn.MAXIFS(DG19:DG9999,DG19:DG9999,"&gt;0",$H$19:$H9999,"&gt;=1",$H$19:$H9999,"&lt;=4")</f>
        <v>2.2199999999999998</v>
      </c>
      <c r="DH7" s="109">
        <f>_xlfn.MAXIFS(DH19:DH9999,DH19:DH9999,"&gt;0",$H$19:$H9999,"&gt;=1",$H$19:$H9999,"&lt;=4")</f>
        <v>1.87</v>
      </c>
      <c r="DI7" s="109">
        <f>_xlfn.MAXIFS(DI19:DI9999,DI19:DI9999,"&gt;0",$H$19:$H9999,"&gt;=1",$H$19:$H9999,"&lt;=4")</f>
        <v>1.4000000000000004</v>
      </c>
      <c r="DJ7" s="109">
        <f>_xlfn.MAXIFS(DJ19:DJ9999,DJ19:DJ9999,"&gt;0",$H$19:$H9999,"&gt;=1",$H$19:$H9999,"&lt;=4")</f>
        <v>0.60000000000000053</v>
      </c>
      <c r="DK7" s="109">
        <f>_xlfn.MAXIFS(DK19:DK9999,DK19:DK9999,"&gt;0",$H$19:$H9999,"&gt;=1",$H$19:$H9999,"&lt;=4")</f>
        <v>0</v>
      </c>
      <c r="DL7" s="109">
        <f>_xlfn.MAXIFS(DL19:DL9999,DL19:DL9999,"&gt;0",$H$19:$H9999,"&gt;=1",$H$19:$H9999,"&lt;=4")</f>
        <v>0</v>
      </c>
      <c r="DM7" s="109">
        <f>_xlfn.MAXIFS(DM19:DM9999,DM19:DM9999,"&gt;0",$H$19:$H9999,"&gt;=1",$H$19:$H9999,"&lt;=4")</f>
        <v>0</v>
      </c>
      <c r="DN7" s="109">
        <f>_xlfn.MAXIFS(DN19:DN9999,DN19:DN9999,"&gt;0",$H$19:$H9999,"&gt;=1",$H$19:$H9999,"&lt;=4")</f>
        <v>5.3933333333333069</v>
      </c>
      <c r="DO7" s="109">
        <f>_xlfn.MAXIFS(DO19:DO9999,DO19:DO9999,"&gt;0",$H$19:$H9999,"&gt;=1",$H$19:$H9999,"&lt;=4")</f>
        <v>3.1599999999999993</v>
      </c>
      <c r="DP7" s="109">
        <f>_xlfn.MAXIFS(DP19:DP9999,DP19:DP9999,"&gt;0",$H$19:$H9999,"&gt;=1",$H$19:$H9999,"&lt;=4")</f>
        <v>2.8599999999999994</v>
      </c>
      <c r="DQ7" s="109">
        <f>_xlfn.MAXIFS(DQ19:DQ9999,DQ19:DQ9999,"&gt;0",$H$19:$H9999,"&gt;=1",$H$19:$H9999,"&lt;=4")</f>
        <v>2.5599999999999996</v>
      </c>
      <c r="DR7" s="109">
        <f>_xlfn.MAXIFS(DR19:DR9999,DR19:DR9999,"&gt;0",$H$19:$H9999,"&gt;=1",$H$19:$H9999,"&lt;=4")</f>
        <v>2.21</v>
      </c>
      <c r="DS7" s="109">
        <f>_xlfn.MAXIFS(DS19:DS9999,DS19:DS9999,"&gt;0",$H$19:$H9999,"&gt;=1",$H$19:$H9999,"&lt;=4")</f>
        <v>1.7400000000000002</v>
      </c>
      <c r="DT7" s="109">
        <f>_xlfn.MAXIFS(DT19:DT9999,DT19:DT9999,"&gt;0",$H$19:$H9999,"&gt;=1",$H$19:$H9999,"&lt;=4")</f>
        <v>0.94000000000000039</v>
      </c>
      <c r="DU7" s="109">
        <f>_xlfn.MAXIFS(DU19:DU9999,DU19:DU9999,"&gt;0",$H$19:$H9999,"&gt;=1",$H$19:$H9999,"&lt;=4")</f>
        <v>0</v>
      </c>
      <c r="DV7" s="109">
        <f>_xlfn.MAXIFS(DV19:DV9999,DV19:DV9999,"&gt;0",$H$19:$H9999,"&gt;=1",$H$19:$H9999,"&lt;=4")</f>
        <v>0</v>
      </c>
      <c r="DW7" s="110">
        <f>_xlfn.MAXIFS(DW19:DW9999,DW19:DW9999,"&gt;0",$H$19:$H9999,"&gt;=1",$H$19:$H9999,"&lt;=4")</f>
        <v>0</v>
      </c>
      <c r="DX7" s="54"/>
      <c r="DY7" s="73"/>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row>
    <row r="8" spans="1:228" ht="15" customHeight="1" thickBot="1" x14ac:dyDescent="0.35">
      <c r="A8" s="54"/>
      <c r="B8" s="646" t="s">
        <v>431</v>
      </c>
      <c r="C8" s="647"/>
      <c r="D8" s="647"/>
      <c r="E8" s="647"/>
      <c r="F8" s="648"/>
      <c r="G8" s="54"/>
      <c r="H8" s="54"/>
      <c r="I8" s="54"/>
      <c r="J8" s="54"/>
      <c r="K8" s="637"/>
      <c r="L8" s="638"/>
      <c r="M8" s="638"/>
      <c r="N8" s="638"/>
      <c r="O8" s="638"/>
      <c r="P8" s="638"/>
      <c r="Q8" s="638"/>
      <c r="R8" s="638"/>
      <c r="S8" s="638"/>
      <c r="T8" s="638"/>
      <c r="U8" s="639"/>
      <c r="V8" s="54"/>
      <c r="W8" s="54"/>
      <c r="X8" s="54"/>
      <c r="Y8" s="54"/>
      <c r="Z8" s="54"/>
      <c r="AA8" s="54"/>
      <c r="AB8" s="54"/>
      <c r="AC8" s="54"/>
      <c r="AD8" s="54"/>
      <c r="AE8" s="54"/>
      <c r="AF8" s="54"/>
      <c r="AG8" s="132">
        <f>Properties!$N$10</f>
        <v>5.0000000000000001E-3</v>
      </c>
      <c r="AH8" s="128">
        <f ca="1">Properties!$DA8</f>
        <v>12448710.670398574</v>
      </c>
      <c r="AI8" s="129" cm="1">
        <f t="array" aca="1" ref="AI8" ca="1">IFERROR(((AH8+AH9)/2*(AG9-AG8)),AH8/2)+(_xlfn.IFNA((CX26-CX29)*AWE*VLOOKUP(AG8,SocialWTP,2,TRUE),0))</f>
        <v>53768.36725446424</v>
      </c>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87" t="str">
        <f>TEXT($N$10,"0.0%")&amp;" AEP"</f>
        <v>0.5% AEP</v>
      </c>
      <c r="BZ8" s="353">
        <f>$DF$11</f>
        <v>64</v>
      </c>
      <c r="CA8" s="86">
        <f>MAX(DF$7,DF$8)</f>
        <v>2.5199999999999996</v>
      </c>
      <c r="CB8" s="86">
        <f>$DF$14</f>
        <v>0.8610937500000001</v>
      </c>
      <c r="CC8" s="80">
        <f ca="1">$EP$15</f>
        <v>7329963.9632234629</v>
      </c>
      <c r="CD8" s="54"/>
      <c r="CE8" s="87" t="str">
        <f>TEXT($N$10,"0.0%")&amp;" AEP"</f>
        <v>0.5% AEP</v>
      </c>
      <c r="CF8" s="353">
        <f>$DF$11</f>
        <v>64</v>
      </c>
      <c r="CG8" s="86">
        <f>MAX(DF$7,DF$8)</f>
        <v>2.5199999999999996</v>
      </c>
      <c r="CH8" s="86">
        <f>$DF$14</f>
        <v>0.8610937500000001</v>
      </c>
      <c r="CI8" s="80">
        <f ca="1">$ER$15</f>
        <v>4062929.7751924763</v>
      </c>
      <c r="CJ8" s="54"/>
      <c r="CK8" s="124" t="str">
        <f>TEXT($N$10,"0.0%")&amp;" AEP"</f>
        <v>0.5% AEP</v>
      </c>
      <c r="CL8" s="354">
        <f>$DP$11</f>
        <v>90</v>
      </c>
      <c r="CM8" s="122">
        <f>MAX(DJ$7,DJ$8)</f>
        <v>0.60000000000000053</v>
      </c>
      <c r="CN8" s="122">
        <f>$DP$14</f>
        <v>1.1061111111111108</v>
      </c>
      <c r="CO8" s="125">
        <f>$ET$15</f>
        <v>1055816.9319826337</v>
      </c>
      <c r="CP8" s="54"/>
      <c r="CQ8" s="124" t="str">
        <f>TEXT($N$10,"0.0%")&amp;" AEP"</f>
        <v>0.5% AEP</v>
      </c>
      <c r="CR8" s="354">
        <f>$DP$11</f>
        <v>90</v>
      </c>
      <c r="CS8" s="122">
        <f>MAX(DP$7,DP$8)</f>
        <v>3.13</v>
      </c>
      <c r="CT8" s="122">
        <f>$DP$14</f>
        <v>1.1061111111111108</v>
      </c>
      <c r="CU8" s="125">
        <f>$EV$15</f>
        <v>0</v>
      </c>
      <c r="CV8" s="54"/>
      <c r="CW8" s="124" t="str">
        <f>TEXT($N$10,"0.0%")&amp;" AEP"</f>
        <v>0.5% AEP</v>
      </c>
      <c r="CX8" s="354">
        <f>MAX(SummaryStructural[[#This Row],[Over Floor Flooding]],SummaryInternal[[#This Row],[Over Floor Flooding]],SummaryExternal[[#This Row],[Over Ground Flooding]],SummaryRiskToLife[[#This Row],[Over Ground Flooding]])</f>
        <v>90</v>
      </c>
      <c r="CY8" s="122">
        <f>MAX(SummaryStructural[[#This Row],[Max Over Floor Depth (m)]],SummaryInternal[[#This Row],[Max Over Floor Depth (m)]])</f>
        <v>2.5199999999999996</v>
      </c>
      <c r="CZ8" s="122">
        <f>SummaryExternal[[#This Row],[Max Over Ground Depth (m)]]</f>
        <v>0.60000000000000053</v>
      </c>
      <c r="DA8" s="125">
        <f ca="1">SUM(SummaryStructural[[#This Row],[Total Damages ]],SummaryInternal[[#This Row],[Total Damages ]],SummaryExternal[[#This Row],[Total Damages]],SummaryRiskToLife[[#This Row],[Total Damages ]])</f>
        <v>12448710.670398574</v>
      </c>
      <c r="DB8" s="54"/>
      <c r="DC8" s="111" t="s">
        <v>223</v>
      </c>
      <c r="DD8" s="81">
        <f>_xlfn.MAXIFS(DD19:DD9999,DD19:DD9999,"&gt;0",$H$19:$H9999,"&gt;=5",$H$19:$H9999,"&lt;=8")</f>
        <v>3.7699999999999987</v>
      </c>
      <c r="DE8" s="81">
        <f>_xlfn.MAXIFS(DE19:DE9999,DE19:DE9999,"&gt;0",$H$19:$H9999,"&gt;=5",$H$19:$H9999,"&lt;=8")</f>
        <v>1.7399999999999993</v>
      </c>
      <c r="DF8" s="81">
        <f>_xlfn.MAXIFS(DF19:DF9999,DF19:DF9999,"&gt;0",$H$19:$H9999,"&gt;=5",$H$19:$H9999,"&lt;=8")</f>
        <v>1.4399999999999995</v>
      </c>
      <c r="DG8" s="81">
        <f>_xlfn.MAXIFS(DG19:DG9999,DG19:DG9999,"&gt;0",$H$19:$H9999,"&gt;=5",$H$19:$H9999,"&lt;=8")</f>
        <v>1.1399999999999997</v>
      </c>
      <c r="DH8" s="81">
        <f>_xlfn.MAXIFS(DH19:DH9999,DH19:DH9999,"&gt;0",$H$19:$H9999,"&gt;=5",$H$19:$H9999,"&lt;=8")</f>
        <v>0.67999999999999972</v>
      </c>
      <c r="DI8" s="81">
        <f>_xlfn.MAXIFS(DI19:DI9999,DI19:DI9999,"&gt;0",$H$19:$H9999,"&gt;=5",$H$19:$H9999,"&lt;=8")</f>
        <v>0.20000000000000018</v>
      </c>
      <c r="DJ8" s="81">
        <f>_xlfn.MAXIFS(DJ19:DJ9999,DJ19:DJ9999,"&gt;0",$H$19:$H9999,"&gt;=5",$H$19:$H9999,"&lt;=8")</f>
        <v>0</v>
      </c>
      <c r="DK8" s="81">
        <f>_xlfn.MAXIFS(DK19:DK9999,DK19:DK9999,"&gt;0",$H$19:$H9999,"&gt;=5",$H$19:$H9999,"&lt;=8")</f>
        <v>0</v>
      </c>
      <c r="DL8" s="81">
        <f>_xlfn.MAXIFS(DL19:DL9999,DL19:DL9999,"&gt;0",$H$19:$H9999,"&gt;=5",$H$19:$H9999,"&lt;=8")</f>
        <v>0</v>
      </c>
      <c r="DM8" s="81">
        <f>_xlfn.MAXIFS(DM19:DM9999,DM19:DM9999,"&gt;0",$H$19:$H9999,"&gt;=5",$H$19:$H9999,"&lt;=8")</f>
        <v>0</v>
      </c>
      <c r="DN8" s="81">
        <f>_xlfn.MAXIFS(DN19:DN9999,DN19:DN9999,"&gt;0",$H$19:$H9999,"&gt;=5",$H$19:$H9999,"&lt;=8")</f>
        <v>4.5127272727272691</v>
      </c>
      <c r="DO8" s="81">
        <f>_xlfn.MAXIFS(DO19:DO9999,DO19:DO9999,"&gt;0",$H$19:$H9999,"&gt;=5",$H$19:$H9999,"&lt;=8")</f>
        <v>3.4299999999999997</v>
      </c>
      <c r="DP8" s="81">
        <f>_xlfn.MAXIFS(DP19:DP9999,DP19:DP9999,"&gt;0",$H$19:$H9999,"&gt;=5",$H$19:$H9999,"&lt;=8")</f>
        <v>3.13</v>
      </c>
      <c r="DQ8" s="81">
        <f>_xlfn.MAXIFS(DQ19:DQ9999,DQ19:DQ9999,"&gt;0",$H$19:$H9999,"&gt;=5",$H$19:$H9999,"&lt;=8")</f>
        <v>2.83</v>
      </c>
      <c r="DR8" s="81">
        <f>_xlfn.MAXIFS(DR19:DR9999,DR19:DR9999,"&gt;0",$H$19:$H9999,"&gt;=5",$H$19:$H9999,"&lt;=8")</f>
        <v>2.37</v>
      </c>
      <c r="DS8" s="81">
        <f>_xlfn.MAXIFS(DS19:DS9999,DS19:DS9999,"&gt;0",$H$19:$H9999,"&gt;=5",$H$19:$H9999,"&lt;=8")</f>
        <v>1.8900000000000006</v>
      </c>
      <c r="DT8" s="81">
        <f>_xlfn.MAXIFS(DT19:DT9999,DT19:DT9999,"&gt;0",$H$19:$H9999,"&gt;=5",$H$19:$H9999,"&lt;=8")</f>
        <v>1.0900000000000007</v>
      </c>
      <c r="DU8" s="81">
        <f>_xlfn.MAXIFS(DU19:DU9999,DU19:DU9999,"&gt;0",$H$19:$H9999,"&gt;=5",$H$19:$H9999,"&lt;=8")</f>
        <v>0</v>
      </c>
      <c r="DV8" s="81">
        <f>_xlfn.MAXIFS(DV19:DV9999,DV19:DV9999,"&gt;0",$H$19:$H9999,"&gt;=5",$H$19:$H9999,"&lt;=8")</f>
        <v>0</v>
      </c>
      <c r="DW8" s="112">
        <f>_xlfn.MAXIFS(DW19:DW9999,DW19:DW9999,"&gt;0",$H$19:$H9999,"&gt;=5",$H$19:$H9999,"&lt;=8")</f>
        <v>0</v>
      </c>
      <c r="DX8" s="54"/>
      <c r="DY8" s="73"/>
      <c r="DZ8" s="640" t="str">
        <f>$L$11&amp;" | "&amp;TEXT($L$10,"0.000%")&amp;" AEP"</f>
        <v>PMF | 0.001% AEP</v>
      </c>
      <c r="EA8" s="641"/>
      <c r="EB8" s="641"/>
      <c r="EC8" s="641"/>
      <c r="ED8" s="641"/>
      <c r="EE8" s="641"/>
      <c r="EF8" s="641"/>
      <c r="EG8" s="642"/>
      <c r="EH8" s="640" t="str">
        <f>$M$11&amp;" Year ARI | "&amp;TEXT($M$10,"0.0%")&amp;" AEP"</f>
        <v>500 Year ARI | 0.2% AEP</v>
      </c>
      <c r="EI8" s="641"/>
      <c r="EJ8" s="641"/>
      <c r="EK8" s="641"/>
      <c r="EL8" s="641"/>
      <c r="EM8" s="641"/>
      <c r="EN8" s="641"/>
      <c r="EO8" s="642"/>
      <c r="EP8" s="640" t="str">
        <f>$N$11&amp;" Year ARI | "&amp;TEXT($N$10,"0.0%")&amp;" AEP"</f>
        <v>200 Year ARI | 0.5% AEP</v>
      </c>
      <c r="EQ8" s="641"/>
      <c r="ER8" s="641"/>
      <c r="ES8" s="641"/>
      <c r="ET8" s="641"/>
      <c r="EU8" s="641"/>
      <c r="EV8" s="641"/>
      <c r="EW8" s="642"/>
      <c r="EX8" s="640" t="str">
        <f>$O$11&amp;" Year ARI | "&amp;TEXT($O$10,"0%")&amp;" AEP"</f>
        <v>100 Year ARI | 1% AEP</v>
      </c>
      <c r="EY8" s="641"/>
      <c r="EZ8" s="641"/>
      <c r="FA8" s="641"/>
      <c r="FB8" s="641"/>
      <c r="FC8" s="641"/>
      <c r="FD8" s="641"/>
      <c r="FE8" s="642"/>
      <c r="FF8" s="640" t="str">
        <f>$P$11&amp;" Year ARI | "&amp;TEXT($P$10,"0%")&amp;" AEP"</f>
        <v>50 Year ARI | 2% AEP</v>
      </c>
      <c r="FG8" s="641"/>
      <c r="FH8" s="641"/>
      <c r="FI8" s="641"/>
      <c r="FJ8" s="641"/>
      <c r="FK8" s="641"/>
      <c r="FL8" s="641"/>
      <c r="FM8" s="642"/>
      <c r="FN8" s="640" t="str">
        <f>$Q$11&amp;" Year ARI | "&amp;TEXT($Q$10,"0%")&amp;" AEP"</f>
        <v>20 Year ARI | 5% AEP</v>
      </c>
      <c r="FO8" s="641"/>
      <c r="FP8" s="641"/>
      <c r="FQ8" s="641"/>
      <c r="FR8" s="641"/>
      <c r="FS8" s="641"/>
      <c r="FT8" s="641"/>
      <c r="FU8" s="642"/>
      <c r="FV8" s="640" t="str">
        <f>$R$11&amp;" Year ARI | "&amp;TEXT($R$10,"0%")&amp;" AEP"</f>
        <v>10 Year ARI | 10% AEP</v>
      </c>
      <c r="FW8" s="641"/>
      <c r="FX8" s="641"/>
      <c r="FY8" s="641"/>
      <c r="FZ8" s="641"/>
      <c r="GA8" s="641"/>
      <c r="GB8" s="641"/>
      <c r="GC8" s="642"/>
      <c r="GD8" s="640" t="str">
        <f>$S$11&amp;" Year ARI | "&amp;TEXT($S$10,"0%")&amp;" AEP"</f>
        <v>5 Year ARI | 20% AEP</v>
      </c>
      <c r="GE8" s="641"/>
      <c r="GF8" s="641"/>
      <c r="GG8" s="641"/>
      <c r="GH8" s="641"/>
      <c r="GI8" s="641"/>
      <c r="GJ8" s="641"/>
      <c r="GK8" s="642"/>
      <c r="GL8" s="640" t="str">
        <f>$T$11&amp;" Year ARI | "&amp;TEXT($T$10,"0%")&amp;" AEP"</f>
        <v>2 Year ARI | 50% AEP</v>
      </c>
      <c r="GM8" s="641"/>
      <c r="GN8" s="641"/>
      <c r="GO8" s="641"/>
      <c r="GP8" s="641"/>
      <c r="GQ8" s="641"/>
      <c r="GR8" s="641"/>
      <c r="GS8" s="642"/>
      <c r="GT8" s="640" t="str">
        <f>$U$11&amp;" Year ARI | "&amp;TEXT($U$10,"0%")&amp;" AEP"</f>
        <v>1 Year ARI | 100% AEP</v>
      </c>
      <c r="GU8" s="641"/>
      <c r="GV8" s="641"/>
      <c r="GW8" s="641"/>
      <c r="GX8" s="641"/>
      <c r="GY8" s="641"/>
      <c r="GZ8" s="641"/>
      <c r="HA8" s="642"/>
      <c r="HB8" s="54"/>
      <c r="HC8" s="54"/>
      <c r="HD8" s="54"/>
      <c r="HE8" s="54"/>
      <c r="HF8" s="54"/>
      <c r="HG8" s="440" t="str">
        <f>$L$11&amp;" Year ARI | "&amp;TEXT($L$10,"0.000%")&amp;" AEP"</f>
        <v>PMF Year ARI | 0.001% AEP</v>
      </c>
      <c r="HH8" s="440" t="str">
        <f>$M$11&amp;" Year ARI | "&amp;TEXT($M$10,"0.0%")&amp;" AEP"</f>
        <v>500 Year ARI | 0.2% AEP</v>
      </c>
      <c r="HI8" s="440" t="str">
        <f>$N$11&amp;" Year ARI | "&amp;TEXT($N$10,"0.0%")&amp;" AEP"</f>
        <v>200 Year ARI | 0.5% AEP</v>
      </c>
      <c r="HJ8" s="440" t="str">
        <f>$O$11&amp;" Year ARI | "&amp;TEXT($O$10,"0%")&amp;" AEP"</f>
        <v>100 Year ARI | 1% AEP</v>
      </c>
      <c r="HK8" s="440" t="str">
        <f>$P$11&amp;" Year ARI | "&amp;TEXT($P$10,"0%")&amp;" AEP"</f>
        <v>50 Year ARI | 2% AEP</v>
      </c>
      <c r="HL8" s="440" t="str">
        <f>$Q$11&amp;" Year ARI | "&amp;TEXT($Q$10,"0%")&amp;" AEP"</f>
        <v>20 Year ARI | 5% AEP</v>
      </c>
      <c r="HM8" s="440" t="str">
        <f>$R$11&amp;" Year ARI | "&amp;TEXT($R$10,"0%")&amp;" AEP"</f>
        <v>10 Year ARI | 10% AEP</v>
      </c>
      <c r="HN8" s="440" t="str">
        <f>$S$11&amp;" Year ARI | "&amp;TEXT($S$10,"0%")&amp;" AEP"</f>
        <v>5 Year ARI | 20% AEP</v>
      </c>
      <c r="HO8" s="439" t="str">
        <f>$T$11&amp;" Year ARI | "&amp;TEXT($T$10,"0%")&amp;" AEP"</f>
        <v>2 Year ARI | 50% AEP</v>
      </c>
      <c r="HP8" s="439" t="str">
        <f>$U$11&amp;" Year ARI | "&amp;TEXT($U$10,"0%")&amp;" AEP"</f>
        <v>1 Year ARI | 100% AEP</v>
      </c>
      <c r="HQ8" s="54"/>
    </row>
    <row r="9" spans="1:228" ht="14.85" customHeight="1" x14ac:dyDescent="0.3">
      <c r="A9" s="54"/>
      <c r="B9" s="644" t="s">
        <v>77</v>
      </c>
      <c r="C9" s="645"/>
      <c r="D9" s="653" t="s">
        <v>75</v>
      </c>
      <c r="E9" s="653"/>
      <c r="F9" s="654"/>
      <c r="G9" s="215" t="s">
        <v>153</v>
      </c>
      <c r="H9" s="54"/>
      <c r="I9" s="54"/>
      <c r="J9" s="54"/>
      <c r="K9" s="400"/>
      <c r="L9" s="401" t="s">
        <v>78</v>
      </c>
      <c r="M9" s="402"/>
      <c r="N9" s="402"/>
      <c r="O9" s="402"/>
      <c r="P9" s="402"/>
      <c r="Q9" s="402"/>
      <c r="R9" s="402"/>
      <c r="S9" s="402"/>
      <c r="T9" s="402"/>
      <c r="U9" s="403"/>
      <c r="V9" s="54"/>
      <c r="W9" s="54"/>
      <c r="X9" s="54"/>
      <c r="Y9" s="54"/>
      <c r="Z9" s="54"/>
      <c r="AA9" s="54"/>
      <c r="AB9" s="54"/>
      <c r="AC9" s="54"/>
      <c r="AD9" s="54"/>
      <c r="AE9" s="54"/>
      <c r="AF9" s="54"/>
      <c r="AG9" s="337">
        <f>Properties!$O$10</f>
        <v>0.01</v>
      </c>
      <c r="AH9" s="128">
        <f ca="1">Properties!$DA9</f>
        <v>9058636.2313871197</v>
      </c>
      <c r="AI9" s="129" cm="1">
        <f t="array" aca="1" ref="AI9" ca="1">IFERROR(((AH9+AH10)/2*(AG10-AG9)),AH9/2)+(_xlfn.IFNA((CX29-CX32)*AWE*VLOOKUP(AG9,SocialWTP,2,TRUE),0))</f>
        <v>74289.522099963724</v>
      </c>
      <c r="AJ9" s="54"/>
      <c r="AK9" s="217"/>
      <c r="AL9" s="217"/>
      <c r="AM9"/>
      <c r="AN9" s="217"/>
      <c r="AO9" s="217"/>
      <c r="AP9"/>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87" t="str">
        <f>TEXT($O$10,"0%")&amp;" AEP"</f>
        <v>1% AEP</v>
      </c>
      <c r="BZ9" s="353">
        <f>$DG$11</f>
        <v>49</v>
      </c>
      <c r="CA9" s="86">
        <f>MAX(DG$7,DG$8)</f>
        <v>2.2199999999999998</v>
      </c>
      <c r="CB9" s="86">
        <f>$DG$14</f>
        <v>0.76469387755102025</v>
      </c>
      <c r="CC9" s="80">
        <f ca="1">$EX$15</f>
        <v>5115954.6597640775</v>
      </c>
      <c r="CD9" s="54"/>
      <c r="CE9" s="87" t="str">
        <f>TEXT($O$10,"0%")&amp;" AEP"</f>
        <v>1% AEP</v>
      </c>
      <c r="CF9" s="353">
        <f>$DG$11</f>
        <v>49</v>
      </c>
      <c r="CG9" s="86">
        <f>MAX(DG$7,DG$8)</f>
        <v>2.2199999999999998</v>
      </c>
      <c r="CH9" s="86">
        <f>$DG$14</f>
        <v>0.76469387755102025</v>
      </c>
      <c r="CI9" s="80">
        <f ca="1">$EZ$15</f>
        <v>3057157.6931859944</v>
      </c>
      <c r="CJ9" s="54"/>
      <c r="CK9" s="124" t="str">
        <f>TEXT($O$10,"0%")&amp;" AEP"</f>
        <v>1% AEP</v>
      </c>
      <c r="CL9" s="354">
        <f>$DQ$11</f>
        <v>76</v>
      </c>
      <c r="CM9" s="122">
        <f>MAX(DK$7,DK$8)</f>
        <v>0</v>
      </c>
      <c r="CN9" s="122">
        <f>$DQ$14</f>
        <v>0.97723684210526296</v>
      </c>
      <c r="CO9" s="125">
        <f>$FB$15</f>
        <v>885523.87843704771</v>
      </c>
      <c r="CP9" s="54"/>
      <c r="CQ9" s="124" t="str">
        <f>TEXT($O$10,"0%")&amp;" AEP"</f>
        <v>1% AEP</v>
      </c>
      <c r="CR9" s="354">
        <f>$DQ$11</f>
        <v>76</v>
      </c>
      <c r="CS9" s="122">
        <f>MAX(DQ$7,DQ$8)</f>
        <v>2.83</v>
      </c>
      <c r="CT9" s="122">
        <f>$DQ$14</f>
        <v>0.97723684210526296</v>
      </c>
      <c r="CU9" s="125">
        <f>$FD$15</f>
        <v>0</v>
      </c>
      <c r="CV9" s="54"/>
      <c r="CW9" s="124" t="str">
        <f>TEXT($O$10,"0%")&amp;" AEP"</f>
        <v>1% AEP</v>
      </c>
      <c r="CX9" s="354">
        <f>MAX(SummaryStructural[[#This Row],[Over Floor Flooding]],SummaryInternal[[#This Row],[Over Floor Flooding]],SummaryExternal[[#This Row],[Over Ground Flooding]],SummaryRiskToLife[[#This Row],[Over Ground Flooding]])</f>
        <v>76</v>
      </c>
      <c r="CY9" s="122">
        <f>MAX(SummaryStructural[[#This Row],[Max Over Floor Depth (m)]],SummaryInternal[[#This Row],[Max Over Floor Depth (m)]])</f>
        <v>2.2199999999999998</v>
      </c>
      <c r="CZ9" s="122">
        <f>SummaryExternal[[#This Row],[Max Over Ground Depth (m)]]</f>
        <v>0</v>
      </c>
      <c r="DA9" s="125">
        <f ca="1">SUM(SummaryStructural[[#This Row],[Total Damages ]],SummaryInternal[[#This Row],[Total Damages ]],SummaryExternal[[#This Row],[Total Damages]],SummaryRiskToLife[[#This Row],[Total Damages ]])</f>
        <v>9058636.2313871197</v>
      </c>
      <c r="DB9" s="54"/>
      <c r="DC9" s="358" t="s">
        <v>84</v>
      </c>
      <c r="DD9" s="359">
        <f>COUNTIFS($H$19:$H9999,"&gt;=1",$H$19:$H9999,"&lt;=4",DD19:DD9999,"&gt;0")</f>
        <v>94</v>
      </c>
      <c r="DE9" s="359">
        <f>COUNTIFS($H$19:$H9999,"&gt;=1",$H$19:$H9999,"&lt;=4",DE19:DE9999,"&gt;0")</f>
        <v>58</v>
      </c>
      <c r="DF9" s="359">
        <f>COUNTIFS($H$19:$H9999,"&gt;=1",$H$19:$H9999,"&lt;=4",DF19:DF9999,"&gt;0")</f>
        <v>50</v>
      </c>
      <c r="DG9" s="359">
        <f>COUNTIFS($H$19:$H9999,"&gt;=1",$H$19:$H9999,"&lt;=4",DG19:DG9999,"&gt;0")</f>
        <v>40</v>
      </c>
      <c r="DH9" s="359">
        <f>COUNTIFS($H$19:$H9999,"&gt;=1",$H$19:$H9999,"&lt;=4",DH19:DH9999,"&gt;0")</f>
        <v>23</v>
      </c>
      <c r="DI9" s="359">
        <f>COUNTIFS($H$19:$H9999,"&gt;=1",$H$19:$H9999,"&lt;=4",DI19:DI9999,"&gt;0")</f>
        <v>15</v>
      </c>
      <c r="DJ9" s="359">
        <f>COUNTIFS($H$19:$H9999,"&gt;=1",$H$19:$H9999,"&lt;=4",DJ19:DJ9999,"&gt;0")</f>
        <v>4</v>
      </c>
      <c r="DK9" s="359">
        <f>COUNTIFS($H$19:$H9999,"&gt;=1",$H$19:$H9999,"&lt;=4",DK19:DK9999,"&gt;0")</f>
        <v>0</v>
      </c>
      <c r="DL9" s="359">
        <f>COUNTIFS($H$19:$H9999,"&gt;=1",$H$19:$H9999,"&lt;=4",DL19:DL9999,"&gt;0")</f>
        <v>0</v>
      </c>
      <c r="DM9" s="359">
        <f>COUNTIFS($H$19:$H9999,"&gt;=1",$H$19:$H9999,"&lt;=4",DM19:DM9999,"&gt;0")</f>
        <v>0</v>
      </c>
      <c r="DN9" s="359">
        <f>COUNTIFS($H$19:$H9999,"&gt;=1",$H$19:$H9999,"&lt;=4",DN19:DN9999,"&gt;0")</f>
        <v>94</v>
      </c>
      <c r="DO9" s="359">
        <f>COUNTIFS($H$19:$H9999,"&gt;=1",$H$19:$H9999,"&lt;=4",DO19:DO9999,"&gt;0")</f>
        <v>76</v>
      </c>
      <c r="DP9" s="359">
        <f>COUNTIFS($H$19:$H9999,"&gt;=1",$H$19:$H9999,"&lt;=4",DP19:DP9999,"&gt;0")</f>
        <v>69</v>
      </c>
      <c r="DQ9" s="359">
        <f>COUNTIFS($H$19:$H9999,"&gt;=1",$H$19:$H9999,"&lt;=4",DQ19:DQ9999,"&gt;0")</f>
        <v>60</v>
      </c>
      <c r="DR9" s="359">
        <f>COUNTIFS($H$19:$H9999,"&gt;=1",$H$19:$H9999,"&lt;=4",DR19:DR9999,"&gt;0")</f>
        <v>48</v>
      </c>
      <c r="DS9" s="359">
        <f>COUNTIFS($H$19:$H9999,"&gt;=1",$H$19:$H9999,"&lt;=4",DS19:DS9999,"&gt;0")</f>
        <v>27</v>
      </c>
      <c r="DT9" s="359">
        <f>COUNTIFS($H$19:$H9999,"&gt;=1",$H$19:$H9999,"&lt;=4",DT19:DT9999,"&gt;0")</f>
        <v>9</v>
      </c>
      <c r="DU9" s="359">
        <f>COUNTIFS($H$19:$H9999,"&gt;=1",$H$19:$H9999,"&lt;=4",DU19:DU9999,"&gt;0")</f>
        <v>0</v>
      </c>
      <c r="DV9" s="359">
        <f>COUNTIFS($H$19:$H9999,"&gt;=1",$H$19:$H9999,"&lt;=4",DV19:DV9999,"&gt;0")</f>
        <v>0</v>
      </c>
      <c r="DW9" s="360">
        <f>COUNTIFS($H$19:$H9999,"&gt;=1",$H$19:$H9999,"&lt;=4",DW19:DW9999,"&gt;0")</f>
        <v>0</v>
      </c>
      <c r="DX9" s="54"/>
      <c r="DY9" s="73" t="s">
        <v>364</v>
      </c>
      <c r="DZ9" s="613">
        <f ca="1">IFERROR(DZ10/EA10,"--")</f>
        <v>127197.92078944904</v>
      </c>
      <c r="EA9" s="614"/>
      <c r="EB9" s="611">
        <f ca="1">IFERROR(EB10/EC10,"--")</f>
        <v>89729.041655713314</v>
      </c>
      <c r="EC9" s="614"/>
      <c r="ED9" s="611">
        <f t="shared" ref="ED9" si="0">IFERROR(ED10/EE10,"--")</f>
        <v>15481.186685962371</v>
      </c>
      <c r="EE9" s="614"/>
      <c r="EF9" s="611" t="str">
        <f t="shared" ref="EF9" si="1">IFERROR(EF10/EG10,"--")</f>
        <v>--</v>
      </c>
      <c r="EG9" s="612"/>
      <c r="EH9" s="613">
        <f t="shared" ref="EH9" ca="1" si="2">IFERROR(EH10/EI10,"--")</f>
        <v>101044.161384363</v>
      </c>
      <c r="EI9" s="614"/>
      <c r="EJ9" s="611">
        <f t="shared" ref="EJ9" ca="1" si="3">IFERROR(EJ10/EK10,"--")</f>
        <v>78114.065452005962</v>
      </c>
      <c r="EK9" s="614"/>
      <c r="EL9" s="611">
        <f t="shared" ref="EL9" si="4">IFERROR(EL10/EM10,"--")</f>
        <v>14258.987737070607</v>
      </c>
      <c r="EM9" s="614"/>
      <c r="EN9" s="611" t="str">
        <f t="shared" ref="EN9" si="5">IFERROR(EN10/EO10,"--")</f>
        <v>--</v>
      </c>
      <c r="EO9" s="612"/>
      <c r="EP9" s="613">
        <f t="shared" ref="EP9" ca="1" si="6">IFERROR(EP10/EQ10,"--")</f>
        <v>99299.019539817513</v>
      </c>
      <c r="EQ9" s="614"/>
      <c r="ER9" s="611">
        <f t="shared" ref="ER9" ca="1" si="7">IFERROR(ER10/ES10,"--")</f>
        <v>73871.45045804503</v>
      </c>
      <c r="ES9" s="614"/>
      <c r="ET9" s="611">
        <f t="shared" ref="ET9" si="8">IFERROR(ET10/EU10,"--")</f>
        <v>13910.63151492271</v>
      </c>
      <c r="EU9" s="614"/>
      <c r="EV9" s="611" t="str">
        <f t="shared" ref="EV9" si="9">IFERROR(EV10/EW10,"--")</f>
        <v>--</v>
      </c>
      <c r="EW9" s="612"/>
      <c r="EX9" s="613">
        <f t="shared" ref="EX9" ca="1" si="10">IFERROR(EX10/EY10,"--")</f>
        <v>91192.383105880188</v>
      </c>
      <c r="EY9" s="614"/>
      <c r="EZ9" s="611">
        <f t="shared" ref="EZ9" ca="1" si="11">IFERROR(EZ10/FA10,"--")</f>
        <v>69480.85666331806</v>
      </c>
      <c r="FA9" s="614"/>
      <c r="FB9" s="611">
        <f t="shared" ref="FB9" si="12">IFERROR(FB10/FC10,"--")</f>
        <v>13417.028461167389</v>
      </c>
      <c r="FC9" s="614"/>
      <c r="FD9" s="611" t="str">
        <f t="shared" ref="FD9" si="13">IFERROR(FD10/FE10,"--")</f>
        <v>--</v>
      </c>
      <c r="FE9" s="612"/>
      <c r="FF9" s="613">
        <f t="shared" ref="FF9" ca="1" si="14">IFERROR(FF10/FG10,"--")</f>
        <v>98384.261403517943</v>
      </c>
      <c r="FG9" s="614"/>
      <c r="FH9" s="611">
        <f t="shared" ref="FH9" ca="1" si="15">IFERROR(FH10/FI10,"--")</f>
        <v>72535.920506630238</v>
      </c>
      <c r="FI9" s="614"/>
      <c r="FJ9" s="611">
        <f t="shared" ref="FJ9" si="16">IFERROR(FJ10/FK10,"--")</f>
        <v>11933.414737095996</v>
      </c>
      <c r="FK9" s="614"/>
      <c r="FL9" s="611" t="str">
        <f t="shared" ref="FL9" si="17">IFERROR(FL10/FM10,"--")</f>
        <v>--</v>
      </c>
      <c r="FM9" s="612"/>
      <c r="FN9" s="613">
        <f t="shared" ref="FN9" ca="1" si="18">IFERROR(FN10/FO10,"--")</f>
        <v>80415.864584673327</v>
      </c>
      <c r="FO9" s="614"/>
      <c r="FP9" s="611">
        <f t="shared" ref="FP9" ca="1" si="19">IFERROR(FP10/FQ10,"--")</f>
        <v>57402.312295994838</v>
      </c>
      <c r="FQ9" s="614"/>
      <c r="FR9" s="611">
        <f t="shared" ref="FR9" si="20">IFERROR(FR10/FS10,"--")</f>
        <v>12040.922977970735</v>
      </c>
      <c r="FS9" s="614"/>
      <c r="FT9" s="611" t="str">
        <f t="shared" ref="FT9" si="21">IFERROR(FT10/FU10,"--")</f>
        <v>--</v>
      </c>
      <c r="FU9" s="612"/>
      <c r="FV9" s="613">
        <f t="shared" ref="FV9" ca="1" si="22">IFERROR(FV10/FW10,"--")</f>
        <v>83114.836036742243</v>
      </c>
      <c r="FW9" s="614"/>
      <c r="FX9" s="611">
        <f t="shared" ref="FX9" ca="1" si="23">IFERROR(FX10/FY10,"--")</f>
        <v>45285.406747011883</v>
      </c>
      <c r="FY9" s="614"/>
      <c r="FZ9" s="611">
        <f t="shared" ref="FZ9" si="24">IFERROR(FZ10/GA10,"--")</f>
        <v>12040.922977970733</v>
      </c>
      <c r="GA9" s="614"/>
      <c r="GB9" s="611" t="str">
        <f t="shared" ref="GB9" si="25">IFERROR(GB10/GC10,"--")</f>
        <v>--</v>
      </c>
      <c r="GC9" s="612"/>
      <c r="GD9" s="613" t="str">
        <f t="shared" ref="GD9" ca="1" si="26">IFERROR(GD10/GE10,"--")</f>
        <v>--</v>
      </c>
      <c r="GE9" s="614"/>
      <c r="GF9" s="611" t="str">
        <f t="shared" ref="GF9" ca="1" si="27">IFERROR(GF10/GG10,"--")</f>
        <v>--</v>
      </c>
      <c r="GG9" s="614"/>
      <c r="GH9" s="611" t="str">
        <f t="shared" ref="GH9" si="28">IFERROR(GH10/GI10,"--")</f>
        <v>--</v>
      </c>
      <c r="GI9" s="614"/>
      <c r="GJ9" s="611" t="str">
        <f t="shared" ref="GJ9" si="29">IFERROR(GJ10/GK10,"--")</f>
        <v>--</v>
      </c>
      <c r="GK9" s="612"/>
      <c r="GL9" s="613" t="str">
        <f t="shared" ref="GL9" ca="1" si="30">IFERROR(GL10/GM10,"--")</f>
        <v>--</v>
      </c>
      <c r="GM9" s="614"/>
      <c r="GN9" s="611" t="str">
        <f t="shared" ref="GN9" ca="1" si="31">IFERROR(GN10/GO10,"--")</f>
        <v>--</v>
      </c>
      <c r="GO9" s="614"/>
      <c r="GP9" s="611" t="str">
        <f t="shared" ref="GP9" si="32">IFERROR(GP10/GQ10,"--")</f>
        <v>--</v>
      </c>
      <c r="GQ9" s="614"/>
      <c r="GR9" s="611" t="str">
        <f t="shared" ref="GR9" si="33">IFERROR(GR10/GS10,"--")</f>
        <v>--</v>
      </c>
      <c r="GS9" s="612"/>
      <c r="GT9" s="613" t="str">
        <f t="shared" ref="GT9" ca="1" si="34">IFERROR(GT10/GU10,"--")</f>
        <v>--</v>
      </c>
      <c r="GU9" s="614"/>
      <c r="GV9" s="611" t="str">
        <f t="shared" ref="GV9" ca="1" si="35">IFERROR(GV10/GW10,"--")</f>
        <v>--</v>
      </c>
      <c r="GW9" s="614"/>
      <c r="GX9" s="611" t="str">
        <f t="shared" ref="GX9" si="36">IFERROR(GX10/GY10,"--")</f>
        <v>--</v>
      </c>
      <c r="GY9" s="614"/>
      <c r="GZ9" s="611" t="str">
        <f t="shared" ref="GZ9" si="37">IFERROR(GZ10/HA10,"--")</f>
        <v>--</v>
      </c>
      <c r="HA9" s="612"/>
      <c r="HB9" s="174" t="s">
        <v>364</v>
      </c>
      <c r="HC9" s="54"/>
      <c r="HD9" s="54"/>
      <c r="HE9" s="54"/>
      <c r="HF9" s="73" t="s">
        <v>364</v>
      </c>
      <c r="HG9" s="380">
        <f t="shared" ref="HG9:HG14" ca="1" si="38">SUM($DZ9,$EB9,$ED9,$EF9)</f>
        <v>232408.14913112472</v>
      </c>
      <c r="HH9" s="379">
        <f t="shared" ref="HH9:HH14" ca="1" si="39">SUM($EH9,$EJ9,$EL9,$EN9)</f>
        <v>193417.21457343956</v>
      </c>
      <c r="HI9" s="379">
        <f t="shared" ref="HI9:HI14" ca="1" si="40">SUM($EP9,$ER9,$ET9,$EV9)</f>
        <v>187081.10151278524</v>
      </c>
      <c r="HJ9" s="379">
        <f t="shared" ref="HJ9:HJ14" ca="1" si="41">SUM($EX9,$EZ9,$FB9,$FD9)</f>
        <v>174090.26823036562</v>
      </c>
      <c r="HK9" s="379">
        <f t="shared" ref="HK9:HK14" ca="1" si="42">SUM($FF9,$FH9,$FJ9,$FL9)</f>
        <v>182853.59664724418</v>
      </c>
      <c r="HL9" s="379">
        <f t="shared" ref="HL9:HL14" ca="1" si="43">SUM($FN9,$FP9,$FR9,$FT9)</f>
        <v>149859.09985863889</v>
      </c>
      <c r="HM9" s="379">
        <f t="shared" ref="HM9:HM14" ca="1" si="44">SUM($FV9,$FX9,$FZ9,$GB9)</f>
        <v>140441.16576172487</v>
      </c>
      <c r="HN9" s="379">
        <f t="shared" ref="HN9:HN14" ca="1" si="45">SUM($GD9,$GF9,$GH9,$GJ9)</f>
        <v>0</v>
      </c>
      <c r="HO9" s="379">
        <f t="shared" ref="HO9:HO14" ca="1" si="46">SUM($GL9,$GN9,$GP9,$GR9)</f>
        <v>0</v>
      </c>
      <c r="HP9" s="427">
        <f t="shared" ref="HP9:HP14" ca="1" si="47">SUM($GT9,$GV9,$GX9,$GZ9)</f>
        <v>0</v>
      </c>
      <c r="HQ9" s="174" t="s">
        <v>364</v>
      </c>
    </row>
    <row r="10" spans="1:228" ht="15" customHeight="1" x14ac:dyDescent="0.3">
      <c r="A10" s="54"/>
      <c r="B10" s="62">
        <v>1</v>
      </c>
      <c r="C10" s="63" t="s">
        <v>135</v>
      </c>
      <c r="D10" s="64">
        <v>5</v>
      </c>
      <c r="E10" s="649" t="s">
        <v>134</v>
      </c>
      <c r="F10" s="650"/>
      <c r="G10" s="216">
        <v>2</v>
      </c>
      <c r="H10"/>
      <c r="I10" s="454"/>
      <c r="J10" s="454"/>
      <c r="K10" s="61" t="s">
        <v>79</v>
      </c>
      <c r="L10" s="104">
        <f>1/100000</f>
        <v>1.0000000000000001E-5</v>
      </c>
      <c r="M10" s="105">
        <v>2E-3</v>
      </c>
      <c r="N10" s="105">
        <v>5.0000000000000001E-3</v>
      </c>
      <c r="O10" s="106">
        <v>0.01</v>
      </c>
      <c r="P10" s="106">
        <v>0.02</v>
      </c>
      <c r="Q10" s="106">
        <v>0.05</v>
      </c>
      <c r="R10" s="106">
        <v>0.1</v>
      </c>
      <c r="S10" s="106">
        <v>0.2</v>
      </c>
      <c r="T10" s="106">
        <v>0.5</v>
      </c>
      <c r="U10" s="107">
        <v>1</v>
      </c>
      <c r="V10" s="54"/>
      <c r="W10" s="54"/>
      <c r="X10" s="54"/>
      <c r="Y10" s="54"/>
      <c r="Z10" s="54"/>
      <c r="AA10" s="54"/>
      <c r="AB10" s="54"/>
      <c r="AC10" s="54"/>
      <c r="AD10" s="54"/>
      <c r="AE10" s="54"/>
      <c r="AF10" s="54"/>
      <c r="AG10" s="337">
        <f>Properties!$P$10</f>
        <v>0.02</v>
      </c>
      <c r="AH10" s="128">
        <f ca="1">Properties!$DA10</f>
        <v>5629043.2522814553</v>
      </c>
      <c r="AI10" s="129" cm="1">
        <f t="array" aca="1" ref="AI10" ca="1">IFERROR(((AH10+AH11)/2*(AG11-AG10)),AH10/2)+(_xlfn.IFNA((CX32-CX35)*AWE*VLOOKUP(AG10,SocialWTP,2,TRUE),0))</f>
        <v>130167.54933496029</v>
      </c>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655" t="s">
        <v>369</v>
      </c>
      <c r="BT10" s="655"/>
      <c r="BU10" s="655"/>
      <c r="BV10" s="655"/>
      <c r="BW10" s="655"/>
      <c r="BX10" s="54"/>
      <c r="BY10" s="87" t="str">
        <f>TEXT($P$10,"0%")&amp;" AEP"</f>
        <v>2% AEP</v>
      </c>
      <c r="BZ10" s="353">
        <f>$DH$11</f>
        <v>27</v>
      </c>
      <c r="CA10" s="86">
        <f>MAX(DH$7,DH$8)</f>
        <v>1.87</v>
      </c>
      <c r="CB10" s="86">
        <f>$DH$14</f>
        <v>0.72592592592592575</v>
      </c>
      <c r="CC10" s="80">
        <f ca="1">$FF$15</f>
        <v>3163800.1653450415</v>
      </c>
      <c r="CD10" s="54"/>
      <c r="CE10" s="87" t="str">
        <f>TEXT($P$10,"0%")&amp;" AEP"</f>
        <v>2% AEP</v>
      </c>
      <c r="CF10" s="353">
        <f>$DH$11</f>
        <v>27</v>
      </c>
      <c r="CG10" s="86">
        <f>MAX(DH$7,DH$8)</f>
        <v>1.87</v>
      </c>
      <c r="CH10" s="86">
        <f>$DH$14</f>
        <v>0.72592592592592575</v>
      </c>
      <c r="CI10" s="80">
        <f ca="1">$FH$15</f>
        <v>1835158.7888177452</v>
      </c>
      <c r="CJ10" s="54"/>
      <c r="CK10" s="124" t="str">
        <f>TEXT($P$10,"0%")&amp;" AEP"</f>
        <v>2% AEP</v>
      </c>
      <c r="CL10" s="354">
        <f>$DR$11</f>
        <v>54</v>
      </c>
      <c r="CM10" s="122">
        <f>MAX(DL$7,DL$8)</f>
        <v>0</v>
      </c>
      <c r="CN10" s="122">
        <f>$DR$14</f>
        <v>0.7927777777777778</v>
      </c>
      <c r="CO10" s="125">
        <f>$FJ$15</f>
        <v>630084.29811866861</v>
      </c>
      <c r="CP10" s="54"/>
      <c r="CQ10" s="124" t="str">
        <f>TEXT($P$10,"0%")&amp;" AEP"</f>
        <v>2% AEP</v>
      </c>
      <c r="CR10" s="354">
        <f>$DR$11</f>
        <v>54</v>
      </c>
      <c r="CS10" s="122">
        <f>MAX(DR$7,DR$8)</f>
        <v>2.37</v>
      </c>
      <c r="CT10" s="122">
        <f>$DR$14</f>
        <v>0.7927777777777778</v>
      </c>
      <c r="CU10" s="125">
        <f>$FL$15</f>
        <v>0</v>
      </c>
      <c r="CV10" s="54"/>
      <c r="CW10" s="124" t="str">
        <f>TEXT($P$10,"0%")&amp;" AEP"</f>
        <v>2% AEP</v>
      </c>
      <c r="CX10" s="354">
        <f>MAX(SummaryStructural[[#This Row],[Over Floor Flooding]],SummaryInternal[[#This Row],[Over Floor Flooding]],SummaryExternal[[#This Row],[Over Ground Flooding]],SummaryRiskToLife[[#This Row],[Over Ground Flooding]])</f>
        <v>54</v>
      </c>
      <c r="CY10" s="122">
        <f>MAX(SummaryStructural[[#This Row],[Max Over Floor Depth (m)]],SummaryInternal[[#This Row],[Max Over Floor Depth (m)]])</f>
        <v>1.87</v>
      </c>
      <c r="CZ10" s="122">
        <f>SummaryExternal[[#This Row],[Max Over Ground Depth (m)]]</f>
        <v>0</v>
      </c>
      <c r="DA10" s="125">
        <f ca="1">SUM(SummaryStructural[[#This Row],[Total Damages ]],SummaryInternal[[#This Row],[Total Damages ]],SummaryExternal[[#This Row],[Total Damages]],SummaryRiskToLife[[#This Row],[Total Damages ]])</f>
        <v>5629043.2522814553</v>
      </c>
      <c r="DB10" s="54"/>
      <c r="DC10" s="358" t="s">
        <v>85</v>
      </c>
      <c r="DD10" s="359">
        <f>COUNTIFS($H$19:$H9999,"&gt;=5",$H$19:$H9999,"&lt;=8",DD19:DD9999,"&gt;0")</f>
        <v>25</v>
      </c>
      <c r="DE10" s="359">
        <f>COUNTIFS($H$19:$H9999,"&gt;=5",$H$19:$H9999,"&lt;=8",DE19:DE9999,"&gt;0")</f>
        <v>16</v>
      </c>
      <c r="DF10" s="359">
        <f>COUNTIFS($H$19:$H9999,"&gt;=5",$H$19:$H9999,"&lt;=8",DF19:DF9999,"&gt;0")</f>
        <v>14</v>
      </c>
      <c r="DG10" s="359">
        <f>COUNTIFS($H$19:$H9999,"&gt;=5",$H$19:$H9999,"&lt;=8",DG19:DG9999,"&gt;0")</f>
        <v>9</v>
      </c>
      <c r="DH10" s="359">
        <f>COUNTIFS($H$19:$H9999,"&gt;=5",$H$19:$H9999,"&lt;=8",DH19:DH9999,"&gt;0")</f>
        <v>4</v>
      </c>
      <c r="DI10" s="359">
        <f>COUNTIFS($H$19:$H9999,"&gt;=5",$H$19:$H9999,"&lt;=8",DI19:DI9999,"&gt;0")</f>
        <v>4</v>
      </c>
      <c r="DJ10" s="359">
        <f>COUNTIFS($H$19:$H9999,"&gt;=5",$H$19:$H9999,"&lt;=8",DJ19:DJ9999,"&gt;0")</f>
        <v>0</v>
      </c>
      <c r="DK10" s="359">
        <f>COUNTIFS($H$19:$H9999,"&gt;=5",$H$19:$H9999,"&lt;=8",DK19:DK9999,"&gt;0")</f>
        <v>0</v>
      </c>
      <c r="DL10" s="359">
        <f>COUNTIFS($H$19:$H9999,"&gt;=5",$H$19:$H9999,"&lt;=8",DL19:DL9999,"&gt;0")</f>
        <v>0</v>
      </c>
      <c r="DM10" s="359">
        <f>COUNTIFS($H$19:$H9999,"&gt;=5",$H$19:$H9999,"&lt;=8",DM19:DM9999,"&gt;0")</f>
        <v>0</v>
      </c>
      <c r="DN10" s="359">
        <f>COUNTIFS($H$19:$H9999,"&gt;=5",$H$19:$H9999,"&lt;=8",DN19:DN9999,"&gt;0")</f>
        <v>25</v>
      </c>
      <c r="DO10" s="359">
        <f>COUNTIFS($H$19:$H9999,"&gt;=5",$H$19:$H9999,"&lt;=8",DO19:DO9999,"&gt;0")</f>
        <v>23</v>
      </c>
      <c r="DP10" s="359">
        <f>COUNTIFS($H$19:$H9999,"&gt;=5",$H$19:$H9999,"&lt;=8",DP19:DP9999,"&gt;0")</f>
        <v>21</v>
      </c>
      <c r="DQ10" s="359">
        <f>COUNTIFS($H$19:$H9999,"&gt;=5",$H$19:$H9999,"&lt;=8",DQ19:DQ9999,"&gt;0")</f>
        <v>16</v>
      </c>
      <c r="DR10" s="359">
        <f>COUNTIFS($H$19:$H9999,"&gt;=5",$H$19:$H9999,"&lt;=8",DR19:DR9999,"&gt;0")</f>
        <v>6</v>
      </c>
      <c r="DS10" s="359">
        <f>COUNTIFS($H$19:$H9999,"&gt;=5",$H$19:$H9999,"&lt;=8",DS19:DS9999,"&gt;0")</f>
        <v>4</v>
      </c>
      <c r="DT10" s="359">
        <f>COUNTIFS($H$19:$H9999,"&gt;=5",$H$19:$H9999,"&lt;=8",DT19:DT9999,"&gt;0")</f>
        <v>2</v>
      </c>
      <c r="DU10" s="359">
        <f>COUNTIFS($H$19:$H9999,"&gt;=5",$H$19:$H9999,"&lt;=8",DU19:DU9999,"&gt;0")</f>
        <v>0</v>
      </c>
      <c r="DV10" s="359">
        <f>COUNTIFS($H$19:$H9999,"&gt;=5",$H$19:$H9999,"&lt;=8",DV19:DV9999,"&gt;0")</f>
        <v>0</v>
      </c>
      <c r="DW10" s="360">
        <f>COUNTIFS($H$19:$H9999,"&gt;=5",$H$19:$H9999,"&lt;=8",DW19:DW9999,"&gt;0")</f>
        <v>0</v>
      </c>
      <c r="DX10" s="54"/>
      <c r="DY10" s="73" t="s">
        <v>98</v>
      </c>
      <c r="DZ10" s="136">
        <f ca="1">SUMIFS(DZ19:DZ9999,$H$19:$H9999,"&gt;=1",$H$19:$H9999,"&lt;=4")</f>
        <v>11956604.55420821</v>
      </c>
      <c r="EA10" s="364">
        <f>SUMIFS(EA19:EA9999,$H$19:$H9999,"&gt;=1",$H$19:$H9999,"&lt;=4")</f>
        <v>94</v>
      </c>
      <c r="EB10" s="84">
        <f ca="1">SUMIFS(EB19:EB9999,$H$19:$H9999,"&gt;=1",$H$19:$H9999,"&lt;=4")</f>
        <v>8434529.9156370517</v>
      </c>
      <c r="EC10" s="364">
        <f>SUMIFS(EC19:EC9999,$H$19:$H9999,"&gt;=1",$H$19:$H9999,"&lt;=4")</f>
        <v>94</v>
      </c>
      <c r="ED10" s="84">
        <f>SUMIFS(ED19:ED9999,$H$19:$H9999,"&gt;=1",$H$19:$H9999,"&lt;=4")</f>
        <v>1455231.548480463</v>
      </c>
      <c r="EE10" s="364">
        <f>SUMIFS(EE19:EE9999,$H$19:$H9999,"&gt;=1",$H$19:$H9999,"&lt;=4")</f>
        <v>94</v>
      </c>
      <c r="EF10" s="84">
        <f>SUMIFS(EF19:EF9999,$H$19:$H9999,"&gt;=1",$H$19:$H9999,"&lt;=4")</f>
        <v>0</v>
      </c>
      <c r="EG10" s="369">
        <f>SUMIFS(EG19:EG9999,$H$19:$H9999,"&gt;=1",$H$19:$H9999,"&lt;=4")</f>
        <v>0</v>
      </c>
      <c r="EH10" s="136">
        <f ca="1">SUMIFS(EH19:EH9999,$H$19:$H9999,"&gt;=1",$H$19:$H9999,"&lt;=4")</f>
        <v>5860561.360293054</v>
      </c>
      <c r="EI10" s="364">
        <f>SUMIFS(EI19:EI9999,$H$19:$H9999,"&gt;=1",$H$19:$H9999,"&lt;=4")</f>
        <v>58</v>
      </c>
      <c r="EJ10" s="84">
        <f ca="1">SUMIFS(EJ19:EJ9999,$H$19:$H9999,"&gt;=1",$H$19:$H9999,"&lt;=4")</f>
        <v>4530615.7962163454</v>
      </c>
      <c r="EK10" s="364">
        <f>SUMIFS(EK19:EK9999,$H$19:$H9999,"&gt;=1",$H$19:$H9999,"&lt;=4")</f>
        <v>58</v>
      </c>
      <c r="EL10" s="84">
        <f>SUMIFS(EL19:EL9999,$H$19:$H9999,"&gt;=1",$H$19:$H9999,"&lt;=4")</f>
        <v>1083683.0680173661</v>
      </c>
      <c r="EM10" s="364">
        <f>SUMIFS(EM19:EM9999,$H$19:$H9999,"&gt;=1",$H$19:$H9999,"&lt;=4")</f>
        <v>76</v>
      </c>
      <c r="EN10" s="84">
        <f>SUMIFS(EN19:EN9999,$H$19:$H9999,"&gt;=1",$H$19:$H9999,"&lt;=4")</f>
        <v>0</v>
      </c>
      <c r="EO10" s="369">
        <f>SUMIFS(EO19:EO9999,$H$19:$H9999,"&gt;=1",$H$19:$H9999,"&lt;=4")</f>
        <v>0</v>
      </c>
      <c r="EP10" s="136">
        <f ca="1">SUMIFS(EP19:EP9999,$H$19:$H9999,"&gt;=1",$H$19:$H9999,"&lt;=4")</f>
        <v>4964950.9769908758</v>
      </c>
      <c r="EQ10" s="364">
        <f>SUMIFS(EQ19:EQ9999,$H$19:$H9999,"&gt;=1",$H$19:$H9999,"&lt;=4")</f>
        <v>50</v>
      </c>
      <c r="ER10" s="84">
        <f ca="1">SUMIFS(ER19:ER9999,$H$19:$H9999,"&gt;=1",$H$19:$H9999,"&lt;=4")</f>
        <v>3693572.5229022512</v>
      </c>
      <c r="ES10" s="364">
        <f>SUMIFS(ES19:ES9999,$H$19:$H9999,"&gt;=1",$H$19:$H9999,"&lt;=4")</f>
        <v>50</v>
      </c>
      <c r="ET10" s="84">
        <f>SUMIFS(ET19:ET9999,$H$19:$H9999,"&gt;=1",$H$19:$H9999,"&lt;=4")</f>
        <v>959833.57452966704</v>
      </c>
      <c r="EU10" s="364">
        <f>SUMIFS(EU19:EU9999,$H$19:$H9999,"&gt;=1",$H$19:$H9999,"&lt;=4")</f>
        <v>69</v>
      </c>
      <c r="EV10" s="84">
        <f>SUMIFS(EV19:EV9999,$H$19:$H9999,"&gt;=1",$H$19:$H9999,"&lt;=4")</f>
        <v>0</v>
      </c>
      <c r="EW10" s="369">
        <f>SUMIFS(EW19:EW9999,$H$19:$H9999,"&gt;=1",$H$19:$H9999,"&lt;=4")</f>
        <v>0</v>
      </c>
      <c r="EX10" s="136">
        <f ca="1">SUMIFS(EX19:EX9999,$H$19:$H9999,"&gt;=1",$H$19:$H9999,"&lt;=4")</f>
        <v>3647695.3242352074</v>
      </c>
      <c r="EY10" s="364">
        <f>SUMIFS(EY19:EY9999,$H$19:$H9999,"&gt;=1",$H$19:$H9999,"&lt;=4")</f>
        <v>40</v>
      </c>
      <c r="EZ10" s="84">
        <f ca="1">SUMIFS(EZ19:EZ9999,$H$19:$H9999,"&gt;=1",$H$19:$H9999,"&lt;=4")</f>
        <v>2779234.2665327224</v>
      </c>
      <c r="FA10" s="364">
        <f>SUMIFS(FA19:FA9999,$H$19:$H9999,"&gt;=1",$H$19:$H9999,"&lt;=4")</f>
        <v>40</v>
      </c>
      <c r="FB10" s="84">
        <f>SUMIFS(FB19:FB9999,$H$19:$H9999,"&gt;=1",$H$19:$H9999,"&lt;=4")</f>
        <v>805021.70767004334</v>
      </c>
      <c r="FC10" s="364">
        <f>SUMIFS(FC19:FC9999,$H$19:$H9999,"&gt;=1",$H$19:$H9999,"&lt;=4")</f>
        <v>60</v>
      </c>
      <c r="FD10" s="84">
        <f>SUMIFS(FD19:FD9999,$H$19:$H9999,"&gt;=1",$H$19:$H9999,"&lt;=4")</f>
        <v>0</v>
      </c>
      <c r="FE10" s="369">
        <f>SUMIFS(FE19:FE9999,$H$19:$H9999,"&gt;=1",$H$19:$H9999,"&lt;=4")</f>
        <v>0</v>
      </c>
      <c r="FF10" s="136">
        <f ca="1">SUMIFS(FF19:FF9999,$H$19:$H9999,"&gt;=1",$H$19:$H9999,"&lt;=4")</f>
        <v>2262838.0122809126</v>
      </c>
      <c r="FG10" s="364">
        <f>SUMIFS(FG19:FG9999,$H$19:$H9999,"&gt;=1",$H$19:$H9999,"&lt;=4")</f>
        <v>23</v>
      </c>
      <c r="FH10" s="84">
        <f ca="1">SUMIFS(FH19:FH9999,$H$19:$H9999,"&gt;=1",$H$19:$H9999,"&lt;=4")</f>
        <v>1668326.1716524956</v>
      </c>
      <c r="FI10" s="364">
        <f>SUMIFS(FI19:FI9999,$H$19:$H9999,"&gt;=1",$H$19:$H9999,"&lt;=4")</f>
        <v>23</v>
      </c>
      <c r="FJ10" s="84">
        <f>SUMIFS(FJ19:FJ9999,$H$19:$H9999,"&gt;=1",$H$19:$H9999,"&lt;=4")</f>
        <v>572803.90738060779</v>
      </c>
      <c r="FK10" s="364">
        <f>SUMIFS(FK19:FK9999,$H$19:$H9999,"&gt;=1",$H$19:$H9999,"&lt;=4")</f>
        <v>48</v>
      </c>
      <c r="FL10" s="84">
        <f>SUMIFS(FL19:FL9999,$H$19:$H9999,"&gt;=1",$H$19:$H9999,"&lt;=4")</f>
        <v>0</v>
      </c>
      <c r="FM10" s="369">
        <f>SUMIFS(FM19:FM9999,$H$19:$H9999,"&gt;=1",$H$19:$H9999,"&lt;=4")</f>
        <v>0</v>
      </c>
      <c r="FN10" s="136">
        <f ca="1">SUMIFS(FN19:FN9999,$H$19:$H9999,"&gt;=1",$H$19:$H9999,"&lt;=4")</f>
        <v>1206237.9687700998</v>
      </c>
      <c r="FO10" s="364">
        <f>SUMIFS(FO19:FO9999,$H$19:$H9999,"&gt;=1",$H$19:$H9999,"&lt;=4")</f>
        <v>15</v>
      </c>
      <c r="FP10" s="84">
        <f ca="1">SUMIFS(FP19:FP9999,$H$19:$H9999,"&gt;=1",$H$19:$H9999,"&lt;=4")</f>
        <v>861034.68443992257</v>
      </c>
      <c r="FQ10" s="364">
        <f>SUMIFS(FQ19:FQ9999,$H$19:$H9999,"&gt;=1",$H$19:$H9999,"&lt;=4")</f>
        <v>15</v>
      </c>
      <c r="FR10" s="84">
        <f>SUMIFS(FR19:FR9999,$H$19:$H9999,"&gt;=1",$H$19:$H9999,"&lt;=4")</f>
        <v>325104.92040520982</v>
      </c>
      <c r="FS10" s="364">
        <f>SUMIFS(FS19:FS9999,$H$19:$H9999,"&gt;=1",$H$19:$H9999,"&lt;=4")</f>
        <v>27</v>
      </c>
      <c r="FT10" s="84">
        <f>SUMIFS(FT19:FT9999,$H$19:$H9999,"&gt;=1",$H$19:$H9999,"&lt;=4")</f>
        <v>0</v>
      </c>
      <c r="FU10" s="369">
        <f>SUMIFS(FU19:FU9999,$H$19:$H9999,"&gt;=1",$H$19:$H9999,"&lt;=4")</f>
        <v>0</v>
      </c>
      <c r="FV10" s="136">
        <f ca="1">SUMIFS(FV19:FV9999,$H$19:$H9999,"&gt;=1",$H$19:$H9999,"&lt;=4")</f>
        <v>332459.34414696897</v>
      </c>
      <c r="FW10" s="364">
        <f>SUMIFS(FW19:FW9999,$H$19:$H9999,"&gt;=1",$H$19:$H9999,"&lt;=4")</f>
        <v>4</v>
      </c>
      <c r="FX10" s="84">
        <f ca="1">SUMIFS(FX19:FX9999,$H$19:$H9999,"&gt;=1",$H$19:$H9999,"&lt;=4")</f>
        <v>181141.62698804753</v>
      </c>
      <c r="FY10" s="364">
        <f>SUMIFS(FY19:FY9999,$H$19:$H9999,"&gt;=1",$H$19:$H9999,"&lt;=4")</f>
        <v>4</v>
      </c>
      <c r="FZ10" s="84">
        <f>SUMIFS(FZ19:FZ9999,$H$19:$H9999,"&gt;=1",$H$19:$H9999,"&lt;=4")</f>
        <v>108368.3068017366</v>
      </c>
      <c r="GA10" s="364">
        <f>SUMIFS(GA19:GA9999,$H$19:$H9999,"&gt;=1",$H$19:$H9999,"&lt;=4")</f>
        <v>9</v>
      </c>
      <c r="GB10" s="84">
        <f>SUMIFS(GB19:GB9999,$H$19:$H9999,"&gt;=1",$H$19:$H9999,"&lt;=4")</f>
        <v>0</v>
      </c>
      <c r="GC10" s="369">
        <f>SUMIFS(GC19:GC9999,$H$19:$H9999,"&gt;=1",$H$19:$H9999,"&lt;=4")</f>
        <v>0</v>
      </c>
      <c r="GD10" s="136">
        <f ca="1">SUMIFS(GD19:GD9999,$H$19:$H9999,"&gt;=1",$H$19:$H9999,"&lt;=4")</f>
        <v>0</v>
      </c>
      <c r="GE10" s="364">
        <f>SUMIFS(GE19:GE9999,$H$19:$H9999,"&gt;=1",$H$19:$H9999,"&lt;=4")</f>
        <v>0</v>
      </c>
      <c r="GF10" s="84">
        <f ca="1">SUMIFS(GF19:GF9999,$H$19:$H9999,"&gt;=1",$H$19:$H9999,"&lt;=4")</f>
        <v>0</v>
      </c>
      <c r="GG10" s="364">
        <f>SUMIFS(GG19:GG9999,$H$19:$H9999,"&gt;=1",$H$19:$H9999,"&lt;=4")</f>
        <v>0</v>
      </c>
      <c r="GH10" s="84">
        <f>SUMIFS(GH19:GH9999,$H$19:$H9999,"&gt;=1",$H$19:$H9999,"&lt;=4")</f>
        <v>0</v>
      </c>
      <c r="GI10" s="364">
        <f>SUMIFS(GI19:GI9999,$H$19:$H9999,"&gt;=1",$H$19:$H9999,"&lt;=4")</f>
        <v>0</v>
      </c>
      <c r="GJ10" s="84">
        <f>SUMIFS(GJ19:GJ9999,$H$19:$H9999,"&gt;=1",$H$19:$H9999,"&lt;=4")</f>
        <v>0</v>
      </c>
      <c r="GK10" s="369">
        <f>SUMIFS(GK19:GK9999,$H$19:$H9999,"&gt;=1",$H$19:$H9999,"&lt;=4")</f>
        <v>0</v>
      </c>
      <c r="GL10" s="136">
        <f ca="1">SUMIFS(GL19:GL9999,$H$19:$H9999,"&gt;=1",$H$19:$H9999,"&lt;=4")</f>
        <v>0</v>
      </c>
      <c r="GM10" s="364">
        <f>SUMIFS(GM19:GM9999,$H$19:$H9999,"&gt;=1",$H$19:$H9999,"&lt;=4")</f>
        <v>0</v>
      </c>
      <c r="GN10" s="84">
        <f ca="1">SUMIFS(GN19:GN9999,$H$19:$H9999,"&gt;=1",$H$19:$H9999,"&lt;=4")</f>
        <v>0</v>
      </c>
      <c r="GO10" s="364">
        <f>SUMIFS(GO19:GO9999,$H$19:$H9999,"&gt;=1",$H$19:$H9999,"&lt;=4")</f>
        <v>0</v>
      </c>
      <c r="GP10" s="84">
        <f>SUMIFS(GP19:GP9999,$H$19:$H9999,"&gt;=1",$H$19:$H9999,"&lt;=4")</f>
        <v>0</v>
      </c>
      <c r="GQ10" s="364">
        <f>SUMIFS(GQ19:GQ9999,$H$19:$H9999,"&gt;=1",$H$19:$H9999,"&lt;=4")</f>
        <v>0</v>
      </c>
      <c r="GR10" s="84">
        <f>SUMIFS(GR19:GR9999,$H$19:$H9999,"&gt;=1",$H$19:$H9999,"&lt;=4")</f>
        <v>0</v>
      </c>
      <c r="GS10" s="369">
        <f>SUMIFS(GS19:GS9999,$H$19:$H9999,"&gt;=1",$H$19:$H9999,"&lt;=4")</f>
        <v>0</v>
      </c>
      <c r="GT10" s="136">
        <f ca="1">SUMIFS(GT19:GT9999,$H$19:$H9999,"&gt;=1",$H$19:$H9999,"&lt;=4")</f>
        <v>0</v>
      </c>
      <c r="GU10" s="364">
        <f>SUMIFS(GU19:GU9999,$H$19:$H9999,"&gt;=1",$H$19:$H9999,"&lt;=4")</f>
        <v>0</v>
      </c>
      <c r="GV10" s="84">
        <f ca="1">SUMIFS(GV19:GV9999,$H$19:$H9999,"&gt;=1",$H$19:$H9999,"&lt;=4")</f>
        <v>0</v>
      </c>
      <c r="GW10" s="364">
        <f>SUMIFS(GW19:GW9999,$H$19:$H9999,"&gt;=1",$H$19:$H9999,"&lt;=4")</f>
        <v>0</v>
      </c>
      <c r="GX10" s="84">
        <f>SUMIFS(GX19:GX9999,$H$19:$H9999,"&gt;=1",$H$19:$H9999,"&lt;=4")</f>
        <v>0</v>
      </c>
      <c r="GY10" s="364">
        <f>SUMIFS(GY19:GY9999,$H$19:$H9999,"&gt;=1",$H$19:$H9999,"&lt;=4")</f>
        <v>0</v>
      </c>
      <c r="GZ10" s="84">
        <f>SUMIFS(GZ19:GZ9999,$H$19:$H9999,"&gt;=1",$H$19:$H9999,"&lt;=4")</f>
        <v>0</v>
      </c>
      <c r="HA10" s="369">
        <f>SUMIFS(HA19:HA9999,$H$19:$H9999,"&gt;=1",$H$19:$H9999,"&lt;=4")</f>
        <v>0</v>
      </c>
      <c r="HB10" s="174" t="s">
        <v>98</v>
      </c>
      <c r="HC10" s="54"/>
      <c r="HD10" s="54"/>
      <c r="HE10" s="54"/>
      <c r="HF10" s="73" t="s">
        <v>98</v>
      </c>
      <c r="HG10" s="136">
        <f ca="1">SUM($DZ10,$EB10,$ED10,$EF10)</f>
        <v>21846366.018325724</v>
      </c>
      <c r="HH10" s="84">
        <f t="shared" ca="1" si="39"/>
        <v>11474860.224526765</v>
      </c>
      <c r="HI10" s="84">
        <f t="shared" ca="1" si="40"/>
        <v>9618357.0744227935</v>
      </c>
      <c r="HJ10" s="84">
        <f t="shared" ca="1" si="41"/>
        <v>7231951.2984379726</v>
      </c>
      <c r="HK10" s="84">
        <f t="shared" ca="1" si="42"/>
        <v>4503968.0913140159</v>
      </c>
      <c r="HL10" s="84">
        <f t="shared" ca="1" si="43"/>
        <v>2392377.5736152325</v>
      </c>
      <c r="HM10" s="84">
        <f t="shared" ca="1" si="44"/>
        <v>621969.27793675312</v>
      </c>
      <c r="HN10" s="84">
        <f t="shared" ca="1" si="45"/>
        <v>0</v>
      </c>
      <c r="HO10" s="84">
        <f t="shared" ca="1" si="46"/>
        <v>0</v>
      </c>
      <c r="HP10" s="423">
        <f t="shared" ca="1" si="47"/>
        <v>0</v>
      </c>
      <c r="HQ10" s="174" t="s">
        <v>98</v>
      </c>
    </row>
    <row r="11" spans="1:228" ht="15" customHeight="1" thickBot="1" x14ac:dyDescent="0.35">
      <c r="A11" s="54"/>
      <c r="B11" s="62">
        <v>2</v>
      </c>
      <c r="C11" s="63" t="s">
        <v>76</v>
      </c>
      <c r="D11" s="64">
        <v>6</v>
      </c>
      <c r="E11" s="649" t="s">
        <v>129</v>
      </c>
      <c r="F11" s="650"/>
      <c r="G11" s="216">
        <v>3</v>
      </c>
      <c r="H11"/>
      <c r="I11" s="454"/>
      <c r="J11" s="454"/>
      <c r="K11" s="65" t="s">
        <v>80</v>
      </c>
      <c r="L11" s="100" t="s">
        <v>73</v>
      </c>
      <c r="M11" s="66">
        <f t="shared" ref="M11:U11" si="48">1/M10</f>
        <v>500</v>
      </c>
      <c r="N11" s="66">
        <f t="shared" si="48"/>
        <v>200</v>
      </c>
      <c r="O11" s="66">
        <f t="shared" si="48"/>
        <v>100</v>
      </c>
      <c r="P11" s="66">
        <f t="shared" si="48"/>
        <v>50</v>
      </c>
      <c r="Q11" s="66">
        <f t="shared" si="48"/>
        <v>20</v>
      </c>
      <c r="R11" s="66">
        <f t="shared" si="48"/>
        <v>10</v>
      </c>
      <c r="S11" s="66">
        <f t="shared" si="48"/>
        <v>5</v>
      </c>
      <c r="T11" s="66">
        <f t="shared" si="48"/>
        <v>2</v>
      </c>
      <c r="U11" s="101">
        <f t="shared" si="48"/>
        <v>1</v>
      </c>
      <c r="V11" s="54"/>
      <c r="W11" s="54"/>
      <c r="X11" s="54"/>
      <c r="Y11" s="54"/>
      <c r="Z11" s="54"/>
      <c r="AA11" s="54"/>
      <c r="AB11" s="54"/>
      <c r="AC11" s="54"/>
      <c r="AD11" s="54"/>
      <c r="AE11" s="54"/>
      <c r="AF11" s="54"/>
      <c r="AG11" s="337">
        <f>Properties!$Q$10</f>
        <v>0.05</v>
      </c>
      <c r="AH11" s="128">
        <f ca="1">Properties!$DA11</f>
        <v>2833713.5874475264</v>
      </c>
      <c r="AI11" s="129" cm="1">
        <f t="array" aca="1" ref="AI11" ca="1">IFERROR(((AH11+AH12)/2*(AG12-AG11)),AH11/2)+(_xlfn.IFNA((CX35-CX38)*AWE*VLOOKUP(AG11,SocialWTP,2,TRUE),0))</f>
        <v>94249.086626361561</v>
      </c>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87" t="str">
        <f>TEXT($Q$10,"0%")&amp;" AEP"</f>
        <v>5% AEP</v>
      </c>
      <c r="BZ11" s="353">
        <f>$DI$11</f>
        <v>19</v>
      </c>
      <c r="CA11" s="86">
        <f>MAX(DI$7,DI$8)</f>
        <v>1.4000000000000004</v>
      </c>
      <c r="CB11" s="86">
        <f>$DI$14</f>
        <v>0.43789473684210528</v>
      </c>
      <c r="CC11" s="80">
        <f ca="1">$FN$15</f>
        <v>1528960.0221178806</v>
      </c>
      <c r="CD11" s="54"/>
      <c r="CE11" s="87" t="str">
        <f>TEXT($Q$10,"0%")&amp;" AEP"</f>
        <v>5% AEP</v>
      </c>
      <c r="CF11" s="353">
        <f>$DI$11</f>
        <v>19</v>
      </c>
      <c r="CG11" s="86">
        <f>MAX(DI$7,DI$8)</f>
        <v>1.4000000000000004</v>
      </c>
      <c r="CH11" s="86">
        <f>$DI$14</f>
        <v>0.43789473684210528</v>
      </c>
      <c r="CI11" s="80">
        <f ca="1">$FP$15</f>
        <v>947138.15288391476</v>
      </c>
      <c r="CJ11" s="54"/>
      <c r="CK11" s="124" t="str">
        <f>TEXT($Q$10,"0%")&amp;" AEP"</f>
        <v>5% AEP</v>
      </c>
      <c r="CL11" s="354">
        <f>$DS$11</f>
        <v>31</v>
      </c>
      <c r="CM11" s="122">
        <f>MAX(DM$7,DM$8)</f>
        <v>0</v>
      </c>
      <c r="CN11" s="122">
        <f>$DS$14</f>
        <v>0.74645161290322581</v>
      </c>
      <c r="CO11" s="125">
        <f>$FR$15</f>
        <v>357615.41244573082</v>
      </c>
      <c r="CP11" s="54"/>
      <c r="CQ11" s="124" t="str">
        <f>TEXT($Q$10,"0%")&amp;" AEP"</f>
        <v>5% AEP</v>
      </c>
      <c r="CR11" s="354">
        <f>$DS$11</f>
        <v>31</v>
      </c>
      <c r="CS11" s="122">
        <f>MAX(DS$7,DS$8)</f>
        <v>1.8900000000000006</v>
      </c>
      <c r="CT11" s="122">
        <f>$DS$14</f>
        <v>0.74645161290322581</v>
      </c>
      <c r="CU11" s="125">
        <f>$FT$15</f>
        <v>0</v>
      </c>
      <c r="CV11" s="54"/>
      <c r="CW11" s="124" t="str">
        <f>TEXT($Q$10,"0%")&amp;" AEP"</f>
        <v>5% AEP</v>
      </c>
      <c r="CX11" s="354">
        <f>MAX(SummaryStructural[[#This Row],[Over Floor Flooding]],SummaryInternal[[#This Row],[Over Floor Flooding]],SummaryExternal[[#This Row],[Over Ground Flooding]],SummaryRiskToLife[[#This Row],[Over Ground Flooding]])</f>
        <v>31</v>
      </c>
      <c r="CY11" s="122">
        <f>MAX(SummaryStructural[[#This Row],[Max Over Floor Depth (m)]],SummaryInternal[[#This Row],[Max Over Floor Depth (m)]])</f>
        <v>1.4000000000000004</v>
      </c>
      <c r="CZ11" s="122">
        <f>SummaryExternal[[#This Row],[Max Over Ground Depth (m)]]</f>
        <v>0</v>
      </c>
      <c r="DA11" s="125">
        <f ca="1">SUM(SummaryStructural[[#This Row],[Total Damages ]],SummaryInternal[[#This Row],[Total Damages ]],SummaryExternal[[#This Row],[Total Damages]],SummaryRiskToLife[[#This Row],[Total Damages ]])</f>
        <v>2833713.5874475264</v>
      </c>
      <c r="DB11" s="54"/>
      <c r="DC11" s="361" t="s">
        <v>107</v>
      </c>
      <c r="DD11" s="362">
        <f t="shared" ref="DD11:DW11" si="49">SUM(DD9:DD10)</f>
        <v>119</v>
      </c>
      <c r="DE11" s="362">
        <f t="shared" si="49"/>
        <v>74</v>
      </c>
      <c r="DF11" s="362">
        <f t="shared" si="49"/>
        <v>64</v>
      </c>
      <c r="DG11" s="362">
        <f t="shared" si="49"/>
        <v>49</v>
      </c>
      <c r="DH11" s="362">
        <f t="shared" si="49"/>
        <v>27</v>
      </c>
      <c r="DI11" s="362">
        <f t="shared" si="49"/>
        <v>19</v>
      </c>
      <c r="DJ11" s="362">
        <f t="shared" si="49"/>
        <v>4</v>
      </c>
      <c r="DK11" s="362">
        <f t="shared" si="49"/>
        <v>0</v>
      </c>
      <c r="DL11" s="362">
        <f t="shared" si="49"/>
        <v>0</v>
      </c>
      <c r="DM11" s="362">
        <f t="shared" si="49"/>
        <v>0</v>
      </c>
      <c r="DN11" s="362">
        <f t="shared" si="49"/>
        <v>119</v>
      </c>
      <c r="DO11" s="362">
        <f t="shared" si="49"/>
        <v>99</v>
      </c>
      <c r="DP11" s="362">
        <f t="shared" si="49"/>
        <v>90</v>
      </c>
      <c r="DQ11" s="362">
        <f t="shared" si="49"/>
        <v>76</v>
      </c>
      <c r="DR11" s="362">
        <f t="shared" si="49"/>
        <v>54</v>
      </c>
      <c r="DS11" s="362">
        <f t="shared" si="49"/>
        <v>31</v>
      </c>
      <c r="DT11" s="362">
        <f t="shared" si="49"/>
        <v>11</v>
      </c>
      <c r="DU11" s="362">
        <f t="shared" si="49"/>
        <v>0</v>
      </c>
      <c r="DV11" s="362">
        <f t="shared" si="49"/>
        <v>0</v>
      </c>
      <c r="DW11" s="363">
        <f t="shared" si="49"/>
        <v>0</v>
      </c>
      <c r="DX11" s="54"/>
      <c r="DY11" s="73" t="s">
        <v>365</v>
      </c>
      <c r="DZ11" s="623">
        <f ca="1">IFERROR(DZ12/EA12,"--")</f>
        <v>212795.45369345031</v>
      </c>
      <c r="EA11" s="621"/>
      <c r="EB11" s="617">
        <f ca="1">IFERROR(EB12/EC12,"--")</f>
        <v>0</v>
      </c>
      <c r="EC11" s="621"/>
      <c r="ED11" s="617">
        <f t="shared" ref="ED11" si="50">IFERROR(ED12/EE12,"--")</f>
        <v>0</v>
      </c>
      <c r="EE11" s="621"/>
      <c r="EF11" s="617" t="str">
        <f t="shared" ref="EF11" si="51">IFERROR(EF12/EG12,"--")</f>
        <v>--</v>
      </c>
      <c r="EG11" s="618"/>
      <c r="EH11" s="623">
        <f t="shared" ref="EH11" ca="1" si="52">IFERROR(EH12/EI12,"--")</f>
        <v>160954.14473885958</v>
      </c>
      <c r="EI11" s="621"/>
      <c r="EJ11" s="617">
        <f t="shared" ref="EJ11" ca="1" si="53">IFERROR(EJ12/EK12,"--")</f>
        <v>0</v>
      </c>
      <c r="EK11" s="621"/>
      <c r="EL11" s="617">
        <f t="shared" ref="EL11" si="54">IFERROR(EL12/EM12,"--")</f>
        <v>0</v>
      </c>
      <c r="EM11" s="621"/>
      <c r="EN11" s="617" t="str">
        <f t="shared" ref="EN11" si="55">IFERROR(EN12/EO12,"--")</f>
        <v>--</v>
      </c>
      <c r="EO11" s="618"/>
      <c r="EP11" s="623">
        <f t="shared" ref="EP11" ca="1" si="56">IFERROR(EP12/EQ12,"--")</f>
        <v>133465.56346667849</v>
      </c>
      <c r="EQ11" s="621"/>
      <c r="ER11" s="617">
        <f t="shared" ref="ER11" ca="1" si="57">IFERROR(ER12/ES12,"--")</f>
        <v>0</v>
      </c>
      <c r="ES11" s="621"/>
      <c r="ET11" s="617">
        <f t="shared" ref="ET11" si="58">IFERROR(ET12/EU12,"--")</f>
        <v>0</v>
      </c>
      <c r="EU11" s="621"/>
      <c r="EV11" s="617" t="str">
        <f t="shared" ref="EV11" si="59">IFERROR(EV12/EW12,"--")</f>
        <v>--</v>
      </c>
      <c r="EW11" s="618"/>
      <c r="EX11" s="623">
        <f t="shared" ref="EX11" ca="1" si="60">IFERROR(EX12/EY12,"--")</f>
        <v>122609.97812281658</v>
      </c>
      <c r="EY11" s="621"/>
      <c r="EZ11" s="617">
        <f t="shared" ref="EZ11" ca="1" si="61">IFERROR(EZ12/FA12,"--")</f>
        <v>0</v>
      </c>
      <c r="FA11" s="621"/>
      <c r="FB11" s="617">
        <f t="shared" ref="FB11" si="62">IFERROR(FB12/FC12,"--")</f>
        <v>0</v>
      </c>
      <c r="FC11" s="621"/>
      <c r="FD11" s="617" t="str">
        <f t="shared" ref="FD11" si="63">IFERROR(FD12/FE12,"--")</f>
        <v>--</v>
      </c>
      <c r="FE11" s="618"/>
      <c r="FF11" s="623">
        <f t="shared" ref="FF11" ca="1" si="64">IFERROR(FF12/FG12,"--")</f>
        <v>168669.5879590094</v>
      </c>
      <c r="FG11" s="621"/>
      <c r="FH11" s="617">
        <f t="shared" ref="FH11" ca="1" si="65">IFERROR(FH12/FI12,"--")</f>
        <v>0</v>
      </c>
      <c r="FI11" s="621"/>
      <c r="FJ11" s="617">
        <f t="shared" ref="FJ11" si="66">IFERROR(FJ12/FK12,"--")</f>
        <v>0</v>
      </c>
      <c r="FK11" s="621"/>
      <c r="FL11" s="617" t="str">
        <f t="shared" ref="FL11" si="67">IFERROR(FL12/FM12,"--")</f>
        <v>--</v>
      </c>
      <c r="FM11" s="618"/>
      <c r="FN11" s="623">
        <f t="shared" ref="FN11" ca="1" si="68">IFERROR(FN12/FO12,"--")</f>
        <v>50524.564117692731</v>
      </c>
      <c r="FO11" s="621"/>
      <c r="FP11" s="617">
        <f t="shared" ref="FP11" ca="1" si="69">IFERROR(FP12/FQ12,"--")</f>
        <v>0</v>
      </c>
      <c r="FQ11" s="621"/>
      <c r="FR11" s="617">
        <f t="shared" ref="FR11" si="70">IFERROR(FR12/FS12,"--")</f>
        <v>0</v>
      </c>
      <c r="FS11" s="621"/>
      <c r="FT11" s="617" t="str">
        <f t="shared" ref="FT11" si="71">IFERROR(FT12/FU12,"--")</f>
        <v>--</v>
      </c>
      <c r="FU11" s="618"/>
      <c r="FV11" s="623" t="str">
        <f t="shared" ref="FV11" ca="1" si="72">IFERROR(FV12/FW12,"--")</f>
        <v>--</v>
      </c>
      <c r="FW11" s="621"/>
      <c r="FX11" s="617" t="str">
        <f t="shared" ref="FX11" ca="1" si="73">IFERROR(FX12/FY12,"--")</f>
        <v>--</v>
      </c>
      <c r="FY11" s="621"/>
      <c r="FZ11" s="617">
        <f t="shared" ref="FZ11" si="74">IFERROR(FZ12/GA12,"--")</f>
        <v>0</v>
      </c>
      <c r="GA11" s="621"/>
      <c r="GB11" s="617" t="str">
        <f t="shared" ref="GB11" si="75">IFERROR(GB12/GC12,"--")</f>
        <v>--</v>
      </c>
      <c r="GC11" s="618"/>
      <c r="GD11" s="623" t="str">
        <f t="shared" ref="GD11" ca="1" si="76">IFERROR(GD12/GE12,"--")</f>
        <v>--</v>
      </c>
      <c r="GE11" s="621"/>
      <c r="GF11" s="617" t="str">
        <f t="shared" ref="GF11" ca="1" si="77">IFERROR(GF12/GG12,"--")</f>
        <v>--</v>
      </c>
      <c r="GG11" s="621"/>
      <c r="GH11" s="617" t="str">
        <f t="shared" ref="GH11" si="78">IFERROR(GH12/GI12,"--")</f>
        <v>--</v>
      </c>
      <c r="GI11" s="621"/>
      <c r="GJ11" s="617" t="str">
        <f t="shared" ref="GJ11" si="79">IFERROR(GJ12/GK12,"--")</f>
        <v>--</v>
      </c>
      <c r="GK11" s="618"/>
      <c r="GL11" s="623" t="str">
        <f t="shared" ref="GL11" ca="1" si="80">IFERROR(GL12/GM12,"--")</f>
        <v>--</v>
      </c>
      <c r="GM11" s="621"/>
      <c r="GN11" s="617" t="str">
        <f t="shared" ref="GN11" ca="1" si="81">IFERROR(GN12/GO12,"--")</f>
        <v>--</v>
      </c>
      <c r="GO11" s="621"/>
      <c r="GP11" s="617" t="str">
        <f t="shared" ref="GP11" si="82">IFERROR(GP12/GQ12,"--")</f>
        <v>--</v>
      </c>
      <c r="GQ11" s="621"/>
      <c r="GR11" s="617" t="str">
        <f t="shared" ref="GR11" si="83">IFERROR(GR12/GS12,"--")</f>
        <v>--</v>
      </c>
      <c r="GS11" s="618"/>
      <c r="GT11" s="623" t="str">
        <f t="shared" ref="GT11" ca="1" si="84">IFERROR(GT12/GU12,"--")</f>
        <v>--</v>
      </c>
      <c r="GU11" s="621"/>
      <c r="GV11" s="617" t="str">
        <f t="shared" ref="GV11" ca="1" si="85">IFERROR(GV12/GW12,"--")</f>
        <v>--</v>
      </c>
      <c r="GW11" s="621"/>
      <c r="GX11" s="617" t="str">
        <f t="shared" ref="GX11" si="86">IFERROR(GX12/GY12,"--")</f>
        <v>--</v>
      </c>
      <c r="GY11" s="621"/>
      <c r="GZ11" s="617" t="str">
        <f t="shared" ref="GZ11" si="87">IFERROR(GZ12/HA12,"--")</f>
        <v>--</v>
      </c>
      <c r="HA11" s="618"/>
      <c r="HB11" s="174" t="s">
        <v>365</v>
      </c>
      <c r="HC11" s="54"/>
      <c r="HD11" s="54"/>
      <c r="HE11" s="54"/>
      <c r="HF11" s="73" t="s">
        <v>365</v>
      </c>
      <c r="HG11" s="382">
        <f t="shared" ca="1" si="38"/>
        <v>212795.45369345031</v>
      </c>
      <c r="HH11" s="381">
        <f t="shared" ca="1" si="39"/>
        <v>160954.14473885958</v>
      </c>
      <c r="HI11" s="381">
        <f t="shared" ca="1" si="40"/>
        <v>133465.56346667849</v>
      </c>
      <c r="HJ11" s="381">
        <f t="shared" ca="1" si="41"/>
        <v>122609.97812281658</v>
      </c>
      <c r="HK11" s="381">
        <f t="shared" ca="1" si="42"/>
        <v>168669.5879590094</v>
      </c>
      <c r="HL11" s="381">
        <f t="shared" ca="1" si="43"/>
        <v>50524.564117692731</v>
      </c>
      <c r="HM11" s="381">
        <f t="shared" ca="1" si="44"/>
        <v>0</v>
      </c>
      <c r="HN11" s="381">
        <f t="shared" ca="1" si="45"/>
        <v>0</v>
      </c>
      <c r="HO11" s="381">
        <f t="shared" ca="1" si="46"/>
        <v>0</v>
      </c>
      <c r="HP11" s="428">
        <f t="shared" ca="1" si="47"/>
        <v>0</v>
      </c>
      <c r="HQ11" s="174" t="s">
        <v>365</v>
      </c>
    </row>
    <row r="12" spans="1:228" ht="15" customHeight="1" thickBot="1" x14ac:dyDescent="0.35">
      <c r="A12" s="54"/>
      <c r="B12" s="62">
        <v>3</v>
      </c>
      <c r="C12" s="63" t="s">
        <v>136</v>
      </c>
      <c r="D12" s="64">
        <v>7</v>
      </c>
      <c r="E12" s="649" t="s">
        <v>130</v>
      </c>
      <c r="F12" s="650"/>
      <c r="G12" s="216">
        <v>4</v>
      </c>
      <c r="H12" s="54"/>
      <c r="I12" s="454"/>
      <c r="J12" s="454"/>
      <c r="K12" s="54"/>
      <c r="L12" s="298" t="str">
        <f>LEFT(L14)</f>
        <v>S</v>
      </c>
      <c r="M12" s="298" t="str">
        <f t="shared" ref="M12:Q12" si="88">LEFT(M14)</f>
        <v>M</v>
      </c>
      <c r="N12" s="298" t="str">
        <f t="shared" si="88"/>
        <v>L</v>
      </c>
      <c r="O12" s="298" t="str">
        <f t="shared" si="88"/>
        <v>D</v>
      </c>
      <c r="P12" s="298" t="str">
        <f t="shared" si="88"/>
        <v>U</v>
      </c>
      <c r="Q12" s="298" t="str">
        <f t="shared" si="88"/>
        <v>T</v>
      </c>
      <c r="R12" s="54"/>
      <c r="S12" s="54"/>
      <c r="T12" s="54"/>
      <c r="U12" s="54"/>
      <c r="V12" s="54"/>
      <c r="W12" s="54"/>
      <c r="X12" s="54"/>
      <c r="Y12" s="54"/>
      <c r="Z12" s="54"/>
      <c r="AA12" s="54"/>
      <c r="AB12" s="54"/>
      <c r="AC12" s="54"/>
      <c r="AD12" s="54"/>
      <c r="AE12" s="54"/>
      <c r="AF12" s="54"/>
      <c r="AG12" s="337">
        <f>Properties!$R$10</f>
        <v>0.1</v>
      </c>
      <c r="AH12" s="128">
        <f ca="1">Properties!$DA12</f>
        <v>684166.20573042845</v>
      </c>
      <c r="AI12" s="129" cm="1">
        <f t="array" aca="1" ref="AI12" ca="1">IFERROR(((AH12+AH13)/2*(AG13-AG12)),AH12/2)+(_xlfn.IFNA((CX38-CX41)*AWE*VLOOKUP(AG12,SocialWTP,2,TRUE),0))</f>
        <v>36577.881362257074</v>
      </c>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146" t="str">
        <f>$BS$18</f>
        <v>Structural</v>
      </c>
      <c r="BT12" s="147" t="str">
        <f>$BT$18</f>
        <v>Internal</v>
      </c>
      <c r="BU12" s="148" t="str">
        <f>$BU$18</f>
        <v>External</v>
      </c>
      <c r="BV12" s="206" t="str">
        <f>$BV$18</f>
        <v>Risk to Life</v>
      </c>
      <c r="BW12" s="313" t="str">
        <f>$BW$18</f>
        <v>Combination</v>
      </c>
      <c r="BX12" s="54"/>
      <c r="BY12" s="87" t="str">
        <f>TEXT($R$10,"0%")&amp;" AEP"</f>
        <v>10% AEP</v>
      </c>
      <c r="BZ12" s="353">
        <f>$DJ$11</f>
        <v>4</v>
      </c>
      <c r="CA12" s="86">
        <f>MAX(DJ$7,DJ$8)</f>
        <v>0.60000000000000053</v>
      </c>
      <c r="CB12" s="86">
        <f>$DJ$14</f>
        <v>0.24500000000000033</v>
      </c>
      <c r="CC12" s="80">
        <f ca="1">$FV$15</f>
        <v>365705.27856166585</v>
      </c>
      <c r="CD12" s="54"/>
      <c r="CE12" s="87" t="str">
        <f>TEXT($R$10,"0%")&amp;" AEP"</f>
        <v>10% AEP</v>
      </c>
      <c r="CF12" s="353">
        <f>$DJ$11</f>
        <v>4</v>
      </c>
      <c r="CG12" s="86">
        <f>MAX(DJ$7,DJ$8)</f>
        <v>0.60000000000000053</v>
      </c>
      <c r="CH12" s="86">
        <f>$DJ$14</f>
        <v>0.24500000000000033</v>
      </c>
      <c r="CI12" s="80">
        <f ca="1">$FX$15</f>
        <v>199255.78968685228</v>
      </c>
      <c r="CJ12" s="54"/>
      <c r="CK12" s="124" t="str">
        <f>TEXT($R$10,"0%")&amp;" AEP"</f>
        <v>10% AEP</v>
      </c>
      <c r="CL12" s="354">
        <f>$DT$11</f>
        <v>11</v>
      </c>
      <c r="CM12" s="122">
        <f>MAX(DN$7,DN$8)</f>
        <v>5.3933333333333069</v>
      </c>
      <c r="CN12" s="122">
        <f>$DT$14</f>
        <v>0.52090909090909132</v>
      </c>
      <c r="CO12" s="125">
        <f>$FZ$15</f>
        <v>119205.13748191026</v>
      </c>
      <c r="CP12" s="54"/>
      <c r="CQ12" s="124" t="str">
        <f>TEXT($R$10,"0%")&amp;" AEP"</f>
        <v>10% AEP</v>
      </c>
      <c r="CR12" s="354">
        <f>$DT$11</f>
        <v>11</v>
      </c>
      <c r="CS12" s="122">
        <f>MAX(DT$7,DT$8)</f>
        <v>1.0900000000000007</v>
      </c>
      <c r="CT12" s="122">
        <f>$DT$14</f>
        <v>0.52090909090909132</v>
      </c>
      <c r="CU12" s="125">
        <f>$GB$15</f>
        <v>0</v>
      </c>
      <c r="CV12" s="54"/>
      <c r="CW12" s="124" t="str">
        <f>TEXT($R$10,"0%")&amp;" AEP"</f>
        <v>10% AEP</v>
      </c>
      <c r="CX12" s="354">
        <f>MAX(SummaryStructural[[#This Row],[Over Floor Flooding]],SummaryInternal[[#This Row],[Over Floor Flooding]],SummaryExternal[[#This Row],[Over Ground Flooding]],SummaryRiskToLife[[#This Row],[Over Ground Flooding]])</f>
        <v>11</v>
      </c>
      <c r="CY12" s="122">
        <f>MAX(SummaryStructural[[#This Row],[Max Over Floor Depth (m)]],SummaryInternal[[#This Row],[Max Over Floor Depth (m)]])</f>
        <v>0.60000000000000053</v>
      </c>
      <c r="CZ12" s="122">
        <f>SummaryExternal[[#This Row],[Max Over Ground Depth (m)]]</f>
        <v>5.3933333333333069</v>
      </c>
      <c r="DA12" s="125">
        <f ca="1">SUM(SummaryStructural[[#This Row],[Total Damages ]],SummaryInternal[[#This Row],[Total Damages ]],SummaryExternal[[#This Row],[Total Damages]],SummaryRiskToLife[[#This Row],[Total Damages ]])</f>
        <v>684166.20573042845</v>
      </c>
      <c r="DB12" s="54"/>
      <c r="DC12" s="111" t="s">
        <v>86</v>
      </c>
      <c r="DD12" s="82">
        <f>IFERROR(AVERAGEIFS(DD19:DD9999,DD19:DD9999,"&gt;0",$H$19:$H9999,"&gt;=1",$H$19:$H9999,"&lt;=4"),"--")</f>
        <v>1.9573109514598872</v>
      </c>
      <c r="DE12" s="82">
        <f>IFERROR(AVERAGEIFS(DE19:DE9999,DE19:DE9999,"&gt;0",$H$19:$H9999,"&gt;=1",$H$19:$H9999,"&lt;=4"),"--")</f>
        <v>1.0812068965517234</v>
      </c>
      <c r="DF12" s="82">
        <f>IFERROR(AVERAGEIFS(DF19:DF9999,DF19:DF9999,"&gt;0",$H$19:$H9999,"&gt;=1",$H$19:$H9999,"&lt;=4"),"--")</f>
        <v>0.93140000000000012</v>
      </c>
      <c r="DG12" s="82">
        <f>IFERROR(AVERAGEIFS(DG19:DG9999,DG19:DG9999,"&gt;0",$H$19:$H9999,"&gt;=1",$H$19:$H9999,"&lt;=4"),"--")</f>
        <v>0.81750000000000012</v>
      </c>
      <c r="DH12" s="82">
        <f>IFERROR(AVERAGEIFS(DH19:DH9999,DH19:DH9999,"&gt;0",$H$19:$H9999,"&gt;=1",$H$19:$H9999,"&lt;=4"),"--")</f>
        <v>0.74956521739130433</v>
      </c>
      <c r="DI12" s="82">
        <f>IFERROR(AVERAGEIFS(DI19:DI9999,DI19:DI9999,"&gt;0",$H$19:$H9999,"&gt;=1",$H$19:$H9999,"&lt;=4"),"--")</f>
        <v>0.52333333333333332</v>
      </c>
      <c r="DJ12" s="82">
        <f>IFERROR(AVERAGEIFS(DJ19:DJ9999,DJ19:DJ9999,"&gt;0",$H$19:$H9999,"&gt;=1",$H$19:$H9999,"&lt;=4"),"--")</f>
        <v>0.24500000000000033</v>
      </c>
      <c r="DK12" s="82" t="str">
        <f>IFERROR(AVERAGEIFS(DK19:DK9999,DK19:DK9999,"&gt;0",$H$19:$H9999,"&gt;=1",$H$19:$H9999,"&lt;=4"),"--")</f>
        <v>--</v>
      </c>
      <c r="DL12" s="82" t="str">
        <f>IFERROR(AVERAGEIFS(DL19:DL9999,DL19:DL9999,"&gt;0",$H$19:$H9999,"&gt;=1",$H$19:$H9999,"&lt;=4"),"--")</f>
        <v>--</v>
      </c>
      <c r="DM12" s="82" t="str">
        <f>IFERROR(AVERAGEIFS(DM19:DM9999,DM19:DM9999,"&gt;0",$H$19:$H9999,"&gt;=1",$H$19:$H9999,"&lt;=4"),"--")</f>
        <v>--</v>
      </c>
      <c r="DN12" s="82">
        <f>IFERROR(AVERAGEIFS(DN19:DN9999,DN19:DN9999,"&gt;0",$H$19:$H9999,"&gt;=1",$H$19:$H9999,"&lt;=4"),"--")</f>
        <v>2.5234811642258443</v>
      </c>
      <c r="DO12" s="82">
        <f>IFERROR(AVERAGEIFS(DO19:DO9999,DO19:DO9999,"&gt;0",$H$19:$H9999,"&gt;=1",$H$19:$H9999,"&lt;=4"),"--")</f>
        <v>1.353815789473684</v>
      </c>
      <c r="DP12" s="82">
        <f>IFERROR(AVERAGEIFS(DP19:DP9999,DP19:DP9999,"&gt;0",$H$19:$H9999,"&gt;=1",$H$19:$H9999,"&lt;=4"),"--")</f>
        <v>1.1756521739130434</v>
      </c>
      <c r="DQ12" s="82">
        <f>IFERROR(AVERAGEIFS(DQ19:DQ9999,DQ19:DQ9999,"&gt;0",$H$19:$H9999,"&gt;=1",$H$19:$H9999,"&lt;=4"),"--")</f>
        <v>1.028833333333333</v>
      </c>
      <c r="DR12" s="82">
        <f>IFERROR(AVERAGEIFS(DR19:DR9999,DR19:DR9999,"&gt;0",$H$19:$H9999,"&gt;=1",$H$19:$H9999,"&lt;=4"),"--")</f>
        <v>0.74625000000000019</v>
      </c>
      <c r="DS12" s="82">
        <f>IFERROR(AVERAGEIFS(DS19:DS9999,DS19:DS9999,"&gt;0",$H$19:$H9999,"&gt;=1",$H$19:$H9999,"&lt;=4"),"--")</f>
        <v>0.68407407407407417</v>
      </c>
      <c r="DT12" s="82">
        <f>IFERROR(AVERAGEIFS(DT19:DT9999,DT19:DT9999,"&gt;0",$H$19:$H9999,"&gt;=1",$H$19:$H9999,"&lt;=4"),"--")</f>
        <v>0.39444444444444471</v>
      </c>
      <c r="DU12" s="82" t="str">
        <f>IFERROR(AVERAGEIFS(DU19:DU9999,DU19:DU9999,"&gt;0",$H$19:$H9999,"&gt;=1",$H$19:$H9999,"&lt;=4"),"--")</f>
        <v>--</v>
      </c>
      <c r="DV12" s="82" t="str">
        <f>IFERROR(AVERAGEIFS(DV19:DV9999,DV19:DV9999,"&gt;0",$H$19:$H9999,"&gt;=1",$H$19:$H9999,"&lt;=4"),"--")</f>
        <v>--</v>
      </c>
      <c r="DW12" s="113" t="str">
        <f>IFERROR(AVERAGEIFS(DW19:DW9999,DW19:DW9999,"&gt;0",$H$19:$H9999,"&gt;=1",$H$19:$H9999,"&lt;=4"),"--")</f>
        <v>--</v>
      </c>
      <c r="DX12" s="54"/>
      <c r="DY12" s="73" t="s">
        <v>97</v>
      </c>
      <c r="DZ12" s="137">
        <f ca="1">SUMIFS(DZ19:DZ9999,$H$19:$H9999,"&gt;=5",$H$19:$H9999,"&lt;=8")</f>
        <v>5319886.3423362579</v>
      </c>
      <c r="EA12" s="365">
        <f>SUMIFS(EA19:EA9999,$H$19:$H9999,"&gt;=5",$H$19:$H9999,"&lt;=8")</f>
        <v>25</v>
      </c>
      <c r="EB12" s="83">
        <f ca="1">SUMIFS(EB19:EB9999,$H$19:$H9999,"&gt;=5",$H$19:$H9999,"&lt;=8")</f>
        <v>0</v>
      </c>
      <c r="EC12" s="365">
        <f>SUMIFS(EC19:EC9999,$H$19:$H9999,"&gt;=5",$H$19:$H9999,"&lt;=8")</f>
        <v>25</v>
      </c>
      <c r="ED12" s="83">
        <f>SUMIFS(ED19:ED9999,$H$19:$H9999,"&gt;=5",$H$19:$H9999,"&lt;=8")</f>
        <v>0</v>
      </c>
      <c r="EE12" s="365">
        <f>SUMIFS(EE19:EE9999,$H$19:$H9999,"&gt;=5",$H$19:$H9999,"&lt;=8")</f>
        <v>25</v>
      </c>
      <c r="EF12" s="83">
        <f>SUMIFS(EF19:EF9999,$H$19:$H9999,"&gt;=5",$H$19:$H9999,"&lt;=8")</f>
        <v>0</v>
      </c>
      <c r="EG12" s="368">
        <f>SUMIFS(EG19:EG9999,$H$19:$H9999,"&gt;=5",$H$19:$H9999,"&lt;=8")</f>
        <v>0</v>
      </c>
      <c r="EH12" s="137">
        <f ca="1">SUMIFS(EH19:EH9999,$H$19:$H9999,"&gt;=5",$H$19:$H9999,"&lt;=8")</f>
        <v>2575266.3158217533</v>
      </c>
      <c r="EI12" s="365">
        <f>SUMIFS(EI19:EI9999,$H$19:$H9999,"&gt;=5",$H$19:$H9999,"&lt;=8")</f>
        <v>16</v>
      </c>
      <c r="EJ12" s="83">
        <f ca="1">SUMIFS(EJ19:EJ9999,$H$19:$H9999,"&gt;=5",$H$19:$H9999,"&lt;=8")</f>
        <v>0</v>
      </c>
      <c r="EK12" s="365">
        <f>SUMIFS(EK19:EK9999,$H$19:$H9999,"&gt;=5",$H$19:$H9999,"&lt;=8")</f>
        <v>16</v>
      </c>
      <c r="EL12" s="83">
        <f>SUMIFS(EL19:EL9999,$H$19:$H9999,"&gt;=5",$H$19:$H9999,"&lt;=8")</f>
        <v>0</v>
      </c>
      <c r="EM12" s="365">
        <f>SUMIFS(EM19:EM9999,$H$19:$H9999,"&gt;=5",$H$19:$H9999,"&lt;=8")</f>
        <v>23</v>
      </c>
      <c r="EN12" s="83">
        <f>SUMIFS(EN19:EN9999,$H$19:$H9999,"&gt;=5",$H$19:$H9999,"&lt;=8")</f>
        <v>0</v>
      </c>
      <c r="EO12" s="368">
        <f>SUMIFS(EO19:EO9999,$H$19:$H9999,"&gt;=5",$H$19:$H9999,"&lt;=8")</f>
        <v>0</v>
      </c>
      <c r="EP12" s="137">
        <f ca="1">SUMIFS(EP19:EP9999,$H$19:$H9999,"&gt;=5",$H$19:$H9999,"&lt;=8")</f>
        <v>1868517.8885334989</v>
      </c>
      <c r="EQ12" s="365">
        <f>SUMIFS(EQ19:EQ9999,$H$19:$H9999,"&gt;=5",$H$19:$H9999,"&lt;=8")</f>
        <v>14</v>
      </c>
      <c r="ER12" s="83">
        <f ca="1">SUMIFS(ER19:ER9999,$H$19:$H9999,"&gt;=5",$H$19:$H9999,"&lt;=8")</f>
        <v>0</v>
      </c>
      <c r="ES12" s="365">
        <f>SUMIFS(ES19:ES9999,$H$19:$H9999,"&gt;=5",$H$19:$H9999,"&lt;=8")</f>
        <v>14</v>
      </c>
      <c r="ET12" s="83">
        <f>SUMIFS(ET19:ET9999,$H$19:$H9999,"&gt;=5",$H$19:$H9999,"&lt;=8")</f>
        <v>0</v>
      </c>
      <c r="EU12" s="365">
        <f>SUMIFS(EU19:EU9999,$H$19:$H9999,"&gt;=5",$H$19:$H9999,"&lt;=8")</f>
        <v>21</v>
      </c>
      <c r="EV12" s="83">
        <f>SUMIFS(EV19:EV9999,$H$19:$H9999,"&gt;=5",$H$19:$H9999,"&lt;=8")</f>
        <v>0</v>
      </c>
      <c r="EW12" s="368">
        <f>SUMIFS(EW19:EW9999,$H$19:$H9999,"&gt;=5",$H$19:$H9999,"&lt;=8")</f>
        <v>0</v>
      </c>
      <c r="EX12" s="137">
        <f ca="1">SUMIFS(EX19:EX9999,$H$19:$H9999,"&gt;=5",$H$19:$H9999,"&lt;=8")</f>
        <v>1103489.8031053492</v>
      </c>
      <c r="EY12" s="365">
        <f>SUMIFS(EY19:EY9999,$H$19:$H9999,"&gt;=5",$H$19:$H9999,"&lt;=8")</f>
        <v>9</v>
      </c>
      <c r="EZ12" s="83">
        <f ca="1">SUMIFS(EZ19:EZ9999,$H$19:$H9999,"&gt;=5",$H$19:$H9999,"&lt;=8")</f>
        <v>0</v>
      </c>
      <c r="FA12" s="365">
        <f>SUMIFS(FA19:FA9999,$H$19:$H9999,"&gt;=5",$H$19:$H9999,"&lt;=8")</f>
        <v>9</v>
      </c>
      <c r="FB12" s="83">
        <f>SUMIFS(FB19:FB9999,$H$19:$H9999,"&gt;=5",$H$19:$H9999,"&lt;=8")</f>
        <v>0</v>
      </c>
      <c r="FC12" s="365">
        <f>SUMIFS(FC19:FC9999,$H$19:$H9999,"&gt;=5",$H$19:$H9999,"&lt;=8")</f>
        <v>16</v>
      </c>
      <c r="FD12" s="83">
        <f>SUMIFS(FD19:FD9999,$H$19:$H9999,"&gt;=5",$H$19:$H9999,"&lt;=8")</f>
        <v>0</v>
      </c>
      <c r="FE12" s="368">
        <f>SUMIFS(FE19:FE9999,$H$19:$H9999,"&gt;=5",$H$19:$H9999,"&lt;=8")</f>
        <v>0</v>
      </c>
      <c r="FF12" s="137">
        <f ca="1">SUMIFS(FF19:FF9999,$H$19:$H9999,"&gt;=5",$H$19:$H9999,"&lt;=8")</f>
        <v>674678.35183603759</v>
      </c>
      <c r="FG12" s="365">
        <f>SUMIFS(FG19:FG9999,$H$19:$H9999,"&gt;=5",$H$19:$H9999,"&lt;=8")</f>
        <v>4</v>
      </c>
      <c r="FH12" s="83">
        <f ca="1">SUMIFS(FH19:FH9999,$H$19:$H9999,"&gt;=5",$H$19:$H9999,"&lt;=8")</f>
        <v>0</v>
      </c>
      <c r="FI12" s="365">
        <f>SUMIFS(FI19:FI9999,$H$19:$H9999,"&gt;=5",$H$19:$H9999,"&lt;=8")</f>
        <v>4</v>
      </c>
      <c r="FJ12" s="83">
        <f>SUMIFS(FJ19:FJ9999,$H$19:$H9999,"&gt;=5",$H$19:$H9999,"&lt;=8")</f>
        <v>0</v>
      </c>
      <c r="FK12" s="365">
        <f>SUMIFS(FK19:FK9999,$H$19:$H9999,"&gt;=5",$H$19:$H9999,"&lt;=8")</f>
        <v>6</v>
      </c>
      <c r="FL12" s="83">
        <f>SUMIFS(FL19:FL9999,$H$19:$H9999,"&gt;=5",$H$19:$H9999,"&lt;=8")</f>
        <v>0</v>
      </c>
      <c r="FM12" s="368">
        <f>SUMIFS(FM19:FM9999,$H$19:$H9999,"&gt;=5",$H$19:$H9999,"&lt;=8")</f>
        <v>0</v>
      </c>
      <c r="FN12" s="137">
        <f ca="1">SUMIFS(FN19:FN9999,$H$19:$H9999,"&gt;=5",$H$19:$H9999,"&lt;=8")</f>
        <v>202098.25647077092</v>
      </c>
      <c r="FO12" s="365">
        <f>SUMIFS(FO19:FO9999,$H$19:$H9999,"&gt;=5",$H$19:$H9999,"&lt;=8")</f>
        <v>4</v>
      </c>
      <c r="FP12" s="83">
        <f ca="1">SUMIFS(FP19:FP9999,$H$19:$H9999,"&gt;=5",$H$19:$H9999,"&lt;=8")</f>
        <v>0</v>
      </c>
      <c r="FQ12" s="365">
        <f>SUMIFS(FQ19:FQ9999,$H$19:$H9999,"&gt;=5",$H$19:$H9999,"&lt;=8")</f>
        <v>4</v>
      </c>
      <c r="FR12" s="83">
        <f>SUMIFS(FR19:FR9999,$H$19:$H9999,"&gt;=5",$H$19:$H9999,"&lt;=8")</f>
        <v>0</v>
      </c>
      <c r="FS12" s="365">
        <f>SUMIFS(FS19:FS9999,$H$19:$H9999,"&gt;=5",$H$19:$H9999,"&lt;=8")</f>
        <v>4</v>
      </c>
      <c r="FT12" s="83">
        <f>SUMIFS(FT19:FT9999,$H$19:$H9999,"&gt;=5",$H$19:$H9999,"&lt;=8")</f>
        <v>0</v>
      </c>
      <c r="FU12" s="368">
        <f>SUMIFS(FU19:FU9999,$H$19:$H9999,"&gt;=5",$H$19:$H9999,"&lt;=8")</f>
        <v>0</v>
      </c>
      <c r="FV12" s="137">
        <f ca="1">SUMIFS(FV19:FV9999,$H$19:$H9999,"&gt;=5",$H$19:$H9999,"&lt;=8")</f>
        <v>0</v>
      </c>
      <c r="FW12" s="365">
        <f>SUMIFS(FW19:FW9999,$H$19:$H9999,"&gt;=5",$H$19:$H9999,"&lt;=8")</f>
        <v>0</v>
      </c>
      <c r="FX12" s="83">
        <f ca="1">SUMIFS(FX19:FX9999,$H$19:$H9999,"&gt;=5",$H$19:$H9999,"&lt;=8")</f>
        <v>0</v>
      </c>
      <c r="FY12" s="365">
        <f>SUMIFS(FY19:FY9999,$H$19:$H9999,"&gt;=5",$H$19:$H9999,"&lt;=8")</f>
        <v>0</v>
      </c>
      <c r="FZ12" s="83">
        <f>SUMIFS(FZ19:FZ9999,$H$19:$H9999,"&gt;=5",$H$19:$H9999,"&lt;=8")</f>
        <v>0</v>
      </c>
      <c r="GA12" s="365">
        <f>SUMIFS(GA19:GA9999,$H$19:$H9999,"&gt;=5",$H$19:$H9999,"&lt;=8")</f>
        <v>2</v>
      </c>
      <c r="GB12" s="83">
        <f>SUMIFS(GB19:GB9999,$H$19:$H9999,"&gt;=5",$H$19:$H9999,"&lt;=8")</f>
        <v>0</v>
      </c>
      <c r="GC12" s="368">
        <f>SUMIFS(GC19:GC9999,$H$19:$H9999,"&gt;=5",$H$19:$H9999,"&lt;=8")</f>
        <v>0</v>
      </c>
      <c r="GD12" s="137">
        <f ca="1">SUMIFS(GD19:GD9999,$H$19:$H9999,"&gt;=5",$H$19:$H9999,"&lt;=8")</f>
        <v>0</v>
      </c>
      <c r="GE12" s="365">
        <f>SUMIFS(GE19:GE9999,$H$19:$H9999,"&gt;=5",$H$19:$H9999,"&lt;=8")</f>
        <v>0</v>
      </c>
      <c r="GF12" s="83">
        <f ca="1">SUMIFS(GF19:GF9999,$H$19:$H9999,"&gt;=5",$H$19:$H9999,"&lt;=8")</f>
        <v>0</v>
      </c>
      <c r="GG12" s="365">
        <f>SUMIFS(GG19:GG9999,$H$19:$H9999,"&gt;=5",$H$19:$H9999,"&lt;=8")</f>
        <v>0</v>
      </c>
      <c r="GH12" s="83">
        <f>SUMIFS(GH19:GH9999,$H$19:$H9999,"&gt;=5",$H$19:$H9999,"&lt;=8")</f>
        <v>0</v>
      </c>
      <c r="GI12" s="365">
        <f>SUMIFS(GI19:GI9999,$H$19:$H9999,"&gt;=5",$H$19:$H9999,"&lt;=8")</f>
        <v>0</v>
      </c>
      <c r="GJ12" s="83">
        <f>SUMIFS(GJ19:GJ9999,$H$19:$H9999,"&gt;=5",$H$19:$H9999,"&lt;=8")</f>
        <v>0</v>
      </c>
      <c r="GK12" s="368">
        <f>SUMIFS(GK19:GK9999,$H$19:$H9999,"&gt;=5",$H$19:$H9999,"&lt;=8")</f>
        <v>0</v>
      </c>
      <c r="GL12" s="137">
        <f ca="1">SUMIFS(GL19:GL9999,$H$19:$H9999,"&gt;=5",$H$19:$H9999,"&lt;=8")</f>
        <v>0</v>
      </c>
      <c r="GM12" s="365">
        <f>SUMIFS(GM19:GM9999,$H$19:$H9999,"&gt;=5",$H$19:$H9999,"&lt;=8")</f>
        <v>0</v>
      </c>
      <c r="GN12" s="83">
        <f ca="1">SUMIFS(GN19:GN9999,$H$19:$H9999,"&gt;=5",$H$19:$H9999,"&lt;=8")</f>
        <v>0</v>
      </c>
      <c r="GO12" s="365">
        <f>SUMIFS(GO19:GO9999,$H$19:$H9999,"&gt;=5",$H$19:$H9999,"&lt;=8")</f>
        <v>0</v>
      </c>
      <c r="GP12" s="83">
        <f>SUMIFS(GP19:GP9999,$H$19:$H9999,"&gt;=5",$H$19:$H9999,"&lt;=8")</f>
        <v>0</v>
      </c>
      <c r="GQ12" s="365">
        <f>SUMIFS(GQ19:GQ9999,$H$19:$H9999,"&gt;=5",$H$19:$H9999,"&lt;=8")</f>
        <v>0</v>
      </c>
      <c r="GR12" s="83">
        <f>SUMIFS(GR19:GR9999,$H$19:$H9999,"&gt;=5",$H$19:$H9999,"&lt;=8")</f>
        <v>0</v>
      </c>
      <c r="GS12" s="368">
        <f>SUMIFS(GS19:GS9999,$H$19:$H9999,"&gt;=5",$H$19:$H9999,"&lt;=8")</f>
        <v>0</v>
      </c>
      <c r="GT12" s="137">
        <f ca="1">SUMIFS(GT19:GT9999,$H$19:$H9999,"&gt;=5",$H$19:$H9999,"&lt;=8")</f>
        <v>0</v>
      </c>
      <c r="GU12" s="365">
        <f>SUMIFS(GU19:GU9999,$H$19:$H9999,"&gt;=5",$H$19:$H9999,"&lt;=8")</f>
        <v>0</v>
      </c>
      <c r="GV12" s="83">
        <f ca="1">SUMIFS(GV19:GV9999,$H$19:$H9999,"&gt;=5",$H$19:$H9999,"&lt;=8")</f>
        <v>0</v>
      </c>
      <c r="GW12" s="365">
        <f>SUMIFS(GW19:GW9999,$H$19:$H9999,"&gt;=5",$H$19:$H9999,"&lt;=8")</f>
        <v>0</v>
      </c>
      <c r="GX12" s="83">
        <f>SUMIFS(GX19:GX9999,$H$19:$H9999,"&gt;=5",$H$19:$H9999,"&lt;=8")</f>
        <v>0</v>
      </c>
      <c r="GY12" s="365">
        <f>SUMIFS(GY19:GY9999,$H$19:$H9999,"&gt;=5",$H$19:$H9999,"&lt;=8")</f>
        <v>0</v>
      </c>
      <c r="GZ12" s="83">
        <f>SUMIFS(GZ19:GZ9999,$H$19:$H9999,"&gt;=5",$H$19:$H9999,"&lt;=8")</f>
        <v>0</v>
      </c>
      <c r="HA12" s="368">
        <f>SUMIFS(HA19:HA9999,$H$19:$H9999,"&gt;=5",$H$19:$H9999,"&lt;=8")</f>
        <v>0</v>
      </c>
      <c r="HB12" s="174" t="s">
        <v>97</v>
      </c>
      <c r="HC12" s="54"/>
      <c r="HD12" s="54"/>
      <c r="HE12" s="54"/>
      <c r="HF12" s="73" t="s">
        <v>97</v>
      </c>
      <c r="HG12" s="424">
        <f t="shared" ca="1" si="38"/>
        <v>5319886.3423362579</v>
      </c>
      <c r="HH12" s="425">
        <f t="shared" ca="1" si="39"/>
        <v>2575266.3158217533</v>
      </c>
      <c r="HI12" s="425">
        <f t="shared" ca="1" si="40"/>
        <v>1868517.8885334989</v>
      </c>
      <c r="HJ12" s="425">
        <f t="shared" ca="1" si="41"/>
        <v>1103489.8031053492</v>
      </c>
      <c r="HK12" s="425">
        <f t="shared" ca="1" si="42"/>
        <v>674678.35183603759</v>
      </c>
      <c r="HL12" s="425">
        <f t="shared" ca="1" si="43"/>
        <v>202098.25647077092</v>
      </c>
      <c r="HM12" s="425">
        <f t="shared" ca="1" si="44"/>
        <v>0</v>
      </c>
      <c r="HN12" s="425">
        <f t="shared" ca="1" si="45"/>
        <v>0</v>
      </c>
      <c r="HO12" s="425">
        <f t="shared" ca="1" si="46"/>
        <v>0</v>
      </c>
      <c r="HP12" s="426">
        <f t="shared" ca="1" si="47"/>
        <v>0</v>
      </c>
      <c r="HQ12" s="174" t="s">
        <v>97</v>
      </c>
    </row>
    <row r="13" spans="1:228" ht="15" customHeight="1" thickBot="1" x14ac:dyDescent="0.35">
      <c r="A13" s="54"/>
      <c r="B13" s="67">
        <v>4</v>
      </c>
      <c r="C13" s="68" t="s">
        <v>137</v>
      </c>
      <c r="D13" s="69">
        <v>8</v>
      </c>
      <c r="E13" s="651" t="s">
        <v>131</v>
      </c>
      <c r="F13" s="652"/>
      <c r="G13" s="216">
        <v>5</v>
      </c>
      <c r="H13" s="54"/>
      <c r="I13" s="721" t="s">
        <v>393</v>
      </c>
      <c r="J13" s="454"/>
      <c r="K13" s="280" t="s">
        <v>230</v>
      </c>
      <c r="L13" s="185">
        <v>4</v>
      </c>
      <c r="M13" s="186">
        <v>5</v>
      </c>
      <c r="N13" s="186">
        <v>6</v>
      </c>
      <c r="O13" s="186">
        <v>7</v>
      </c>
      <c r="P13" s="186">
        <v>8</v>
      </c>
      <c r="Q13" s="187">
        <v>9</v>
      </c>
      <c r="R13" s="54"/>
      <c r="S13" s="54"/>
      <c r="T13" s="54"/>
      <c r="U13" s="54"/>
      <c r="V13" s="54"/>
      <c r="W13" s="54"/>
      <c r="X13" s="54"/>
      <c r="Y13" s="54"/>
      <c r="Z13" s="54"/>
      <c r="AA13" s="54"/>
      <c r="AB13" s="54"/>
      <c r="AC13" s="54"/>
      <c r="AD13" s="54"/>
      <c r="AE13" s="54"/>
      <c r="AF13" s="54"/>
      <c r="AG13" s="337">
        <f>Properties!$S$10</f>
        <v>0.2</v>
      </c>
      <c r="AH13" s="128">
        <f ca="1">Properties!$DA13</f>
        <v>0</v>
      </c>
      <c r="AI13" s="129" cm="1">
        <f t="array" aca="1" ref="AI13" ca="1">IFERROR(((AH13+AH14)/2*(AG14-AG13)),AH13/2)+(_xlfn.IFNA((CX41-CX44)*AWE*VLOOKUP(AG13,SocialWTP,2,TRUE),0))</f>
        <v>0</v>
      </c>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442">
        <f ca="1">IFERROR(BS15/BS14,"--")</f>
        <v>2027.0881471774492</v>
      </c>
      <c r="BT13" s="443">
        <f ca="1">IFERROR(BT15/BT14,"--")</f>
        <v>1148.8094420417945</v>
      </c>
      <c r="BU13" s="444">
        <f t="shared" ref="BU13:BV13" si="89">IFERROR(BU15/BU14,"--")</f>
        <v>391.73646827761462</v>
      </c>
      <c r="BV13" s="311" t="str">
        <f t="shared" si="89"/>
        <v>--</v>
      </c>
      <c r="BW13" s="445">
        <f ca="1">IFERROR(BW15/BW14,"--")</f>
        <v>3567.6340574968558</v>
      </c>
      <c r="BX13" s="88" t="s">
        <v>100</v>
      </c>
      <c r="BY13" s="87" t="str">
        <f>TEXT($S$10,"0%")&amp;" AEP"</f>
        <v>20% AEP</v>
      </c>
      <c r="BZ13" s="353">
        <f>$DK$11</f>
        <v>0</v>
      </c>
      <c r="CA13" s="86">
        <f>MAX(DK$7,DK$8)</f>
        <v>0</v>
      </c>
      <c r="CB13" s="86" t="str">
        <f>$DK$14</f>
        <v>--</v>
      </c>
      <c r="CC13" s="80">
        <f ca="1">$GD$15</f>
        <v>0</v>
      </c>
      <c r="CD13" s="54"/>
      <c r="CE13" s="87" t="str">
        <f>TEXT($S$10,"0%")&amp;" AEP"</f>
        <v>20% AEP</v>
      </c>
      <c r="CF13" s="353">
        <f>$DK$11</f>
        <v>0</v>
      </c>
      <c r="CG13" s="86">
        <f>MAX(DK$7,DK$8)</f>
        <v>0</v>
      </c>
      <c r="CH13" s="86" t="str">
        <f>$DK$14</f>
        <v>--</v>
      </c>
      <c r="CI13" s="80">
        <f ca="1">$GF$15</f>
        <v>0</v>
      </c>
      <c r="CJ13" s="54"/>
      <c r="CK13" s="124" t="str">
        <f>TEXT($S$10,"0%")&amp;" AEP"</f>
        <v>20% AEP</v>
      </c>
      <c r="CL13" s="354">
        <f>$DU$11</f>
        <v>0</v>
      </c>
      <c r="CM13" s="122">
        <f>MAX(DO$7,DO$8)</f>
        <v>3.4299999999999997</v>
      </c>
      <c r="CN13" s="122" t="str">
        <f>$DU$14</f>
        <v>--</v>
      </c>
      <c r="CO13" s="125">
        <f>$GH$15</f>
        <v>0</v>
      </c>
      <c r="CP13" s="54"/>
      <c r="CQ13" s="124" t="str">
        <f>TEXT($S$10,"0%")&amp;" AEP"</f>
        <v>20% AEP</v>
      </c>
      <c r="CR13" s="354">
        <f>$DU$11</f>
        <v>0</v>
      </c>
      <c r="CS13" s="122">
        <f>MAX(DU$7,DU$8)</f>
        <v>0</v>
      </c>
      <c r="CT13" s="122" t="str">
        <f>$DU$14</f>
        <v>--</v>
      </c>
      <c r="CU13" s="125">
        <f>$GJ$15</f>
        <v>0</v>
      </c>
      <c r="CV13" s="54"/>
      <c r="CW13" s="124" t="str">
        <f>TEXT($S$10,"0%")&amp;" AEP"</f>
        <v>20% AEP</v>
      </c>
      <c r="CX13" s="354">
        <f>MAX(SummaryStructural[[#This Row],[Over Floor Flooding]],SummaryInternal[[#This Row],[Over Floor Flooding]],SummaryExternal[[#This Row],[Over Ground Flooding]],SummaryRiskToLife[[#This Row],[Over Ground Flooding]])</f>
        <v>0</v>
      </c>
      <c r="CY13" s="122">
        <f>MAX(SummaryStructural[[#This Row],[Max Over Floor Depth (m)]],SummaryInternal[[#This Row],[Max Over Floor Depth (m)]])</f>
        <v>0</v>
      </c>
      <c r="CZ13" s="122">
        <f>SummaryExternal[[#This Row],[Max Over Ground Depth (m)]]</f>
        <v>3.4299999999999997</v>
      </c>
      <c r="DA13" s="125">
        <f ca="1">SUM(SummaryStructural[[#This Row],[Total Damages ]],SummaryInternal[[#This Row],[Total Damages ]],SummaryExternal[[#This Row],[Total Damages]],SummaryRiskToLife[[#This Row],[Total Damages ]])</f>
        <v>0</v>
      </c>
      <c r="DB13" s="54"/>
      <c r="DC13" s="111" t="s">
        <v>87</v>
      </c>
      <c r="DD13" s="82">
        <f>IFERROR(AVERAGEIFS(DD19:DD9999,DD19:DD9999,"&gt;0",$H$19:$H9999,"&gt;=5",$H$19:$H9999,"&lt;=8"),"--")</f>
        <v>1.5671757575757568</v>
      </c>
      <c r="DE13" s="82">
        <f>IFERROR(AVERAGEIFS(DE19:DE9999,DE19:DE9999,"&gt;0",$H$19:$H9999,"&gt;=5",$H$19:$H9999,"&lt;=8"),"--")</f>
        <v>0.82499999999999951</v>
      </c>
      <c r="DF13" s="82">
        <f>IFERROR(AVERAGEIFS(DF19:DF9999,DF19:DF9999,"&gt;0",$H$19:$H9999,"&gt;=5",$H$19:$H9999,"&lt;=8"),"--")</f>
        <v>0.61</v>
      </c>
      <c r="DG13" s="82">
        <f>IFERROR(AVERAGEIFS(DG19:DG9999,DG19:DG9999,"&gt;0",$H$19:$H9999,"&gt;=5",$H$19:$H9999,"&lt;=8"),"--")</f>
        <v>0.5299999999999998</v>
      </c>
      <c r="DH13" s="82">
        <f>IFERROR(AVERAGEIFS(DH19:DH9999,DH19:DH9999,"&gt;0",$H$19:$H9999,"&gt;=5",$H$19:$H9999,"&lt;=8"),"--")</f>
        <v>0.58999999999999986</v>
      </c>
      <c r="DI13" s="82">
        <f>IFERROR(AVERAGEIFS(DI19:DI9999,DI19:DI9999,"&gt;0",$H$19:$H9999,"&gt;=5",$H$19:$H9999,"&lt;=8"),"--")</f>
        <v>0.11750000000000016</v>
      </c>
      <c r="DJ13" s="82" t="str">
        <f>IFERROR(AVERAGEIFS(DJ19:DJ9999,DJ19:DJ9999,"&gt;0",$H$19:$H9999,"&gt;=5",$H$19:$H9999,"&lt;=8"),"--")</f>
        <v>--</v>
      </c>
      <c r="DK13" s="82" t="str">
        <f>IFERROR(AVERAGEIFS(DK19:DK9999,DK19:DK9999,"&gt;0",$H$19:$H9999,"&gt;=5",$H$19:$H9999,"&lt;=8"),"--")</f>
        <v>--</v>
      </c>
      <c r="DL13" s="82" t="str">
        <f>IFERROR(AVERAGEIFS(DL19:DL9999,DL19:DL9999,"&gt;0",$H$19:$H9999,"&gt;=5",$H$19:$H9999,"&lt;=8"),"--")</f>
        <v>--</v>
      </c>
      <c r="DM13" s="82" t="str">
        <f>IFERROR(AVERAGEIFS(DM19:DM9999,DM19:DM9999,"&gt;0",$H$19:$H9999,"&gt;=5",$H$19:$H9999,"&lt;=8"),"--")</f>
        <v>--</v>
      </c>
      <c r="DN13" s="82">
        <f>IFERROR(AVERAGEIFS(DN19:DN9999,DN19:DN9999,"&gt;0",$H$19:$H9999,"&gt;=5",$H$19:$H9999,"&lt;=8"),"--")</f>
        <v>2.1339757575757563</v>
      </c>
      <c r="DO13" s="82">
        <f>IFERROR(AVERAGEIFS(DO19:DO9999,DO19:DO9999,"&gt;0",$H$19:$H9999,"&gt;=5",$H$19:$H9999,"&lt;=8"),"--")</f>
        <v>1.0904347826086955</v>
      </c>
      <c r="DP13" s="82">
        <f>IFERROR(AVERAGEIFS(DP19:DP9999,DP19:DP9999,"&gt;0",$H$19:$H9999,"&gt;=5",$H$19:$H9999,"&lt;=8"),"--")</f>
        <v>0.87761904761904741</v>
      </c>
      <c r="DQ13" s="82">
        <f>IFERROR(AVERAGEIFS(DQ19:DQ9999,DQ19:DQ9999,"&gt;0",$H$19:$H9999,"&gt;=5",$H$19:$H9999,"&lt;=8"),"--")</f>
        <v>0.78374999999999995</v>
      </c>
      <c r="DR13" s="82">
        <f>IFERROR(AVERAGEIFS(DR19:DR9999,DR19:DR9999,"&gt;0",$H$19:$H9999,"&gt;=5",$H$19:$H9999,"&lt;=8"),"--")</f>
        <v>1.1649999999999998</v>
      </c>
      <c r="DS13" s="82">
        <f>IFERROR(AVERAGEIFS(DS19:DS9999,DS19:DS9999,"&gt;0",$H$19:$H9999,"&gt;=5",$H$19:$H9999,"&lt;=8"),"--")</f>
        <v>1.1675000000000002</v>
      </c>
      <c r="DT13" s="82">
        <f>IFERROR(AVERAGEIFS(DT19:DT9999,DT19:DT9999,"&gt;0",$H$19:$H9999,"&gt;=5",$H$19:$H9999,"&lt;=8"),"--")</f>
        <v>1.0900000000000007</v>
      </c>
      <c r="DU13" s="82" t="str">
        <f>IFERROR(AVERAGEIFS(DU19:DU9999,DU19:DU9999,"&gt;0",$H$19:$H9999,"&gt;=5",$H$19:$H9999,"&lt;=8"),"--")</f>
        <v>--</v>
      </c>
      <c r="DV13" s="82" t="str">
        <f>IFERROR(AVERAGEIFS(DV19:DV9999,DV19:DV9999,"&gt;0",$H$19:$H9999,"&gt;=5",$H$19:$H9999,"&lt;=8"),"--")</f>
        <v>--</v>
      </c>
      <c r="DW13" s="113" t="str">
        <f>IFERROR(AVERAGEIFS(DW19:DW9999,DW19:DW9999,"&gt;0",$H$19:$H9999,"&gt;=5",$H$19:$H9999,"&lt;=8"),"--")</f>
        <v>--</v>
      </c>
      <c r="DX13" s="54"/>
      <c r="DY13" s="73"/>
      <c r="DZ13" s="629"/>
      <c r="EA13" s="630"/>
      <c r="EB13" s="619"/>
      <c r="EC13" s="620"/>
      <c r="ED13" s="619"/>
      <c r="EE13" s="620"/>
      <c r="EF13" s="620"/>
      <c r="EG13" s="643"/>
      <c r="EH13" s="629"/>
      <c r="EI13" s="630"/>
      <c r="EJ13" s="619"/>
      <c r="EK13" s="620"/>
      <c r="EL13" s="619"/>
      <c r="EM13" s="620"/>
      <c r="EN13" s="620"/>
      <c r="EO13" s="643"/>
      <c r="EP13" s="629"/>
      <c r="EQ13" s="630"/>
      <c r="ER13" s="619"/>
      <c r="ES13" s="620"/>
      <c r="ET13" s="619"/>
      <c r="EU13" s="620"/>
      <c r="EV13" s="620"/>
      <c r="EW13" s="643"/>
      <c r="EX13" s="629"/>
      <c r="EY13" s="630"/>
      <c r="EZ13" s="619"/>
      <c r="FA13" s="620"/>
      <c r="FB13" s="619"/>
      <c r="FC13" s="620"/>
      <c r="FD13" s="620"/>
      <c r="FE13" s="643"/>
      <c r="FF13" s="629"/>
      <c r="FG13" s="630"/>
      <c r="FH13" s="619"/>
      <c r="FI13" s="620"/>
      <c r="FJ13" s="619"/>
      <c r="FK13" s="620"/>
      <c r="FL13" s="620"/>
      <c r="FM13" s="643"/>
      <c r="FN13" s="629"/>
      <c r="FO13" s="630"/>
      <c r="FP13" s="619"/>
      <c r="FQ13" s="620"/>
      <c r="FR13" s="619"/>
      <c r="FS13" s="620"/>
      <c r="FT13" s="620"/>
      <c r="FU13" s="643"/>
      <c r="FV13" s="629"/>
      <c r="FW13" s="630"/>
      <c r="FX13" s="619"/>
      <c r="FY13" s="620"/>
      <c r="FZ13" s="619"/>
      <c r="GA13" s="620"/>
      <c r="GB13" s="620"/>
      <c r="GC13" s="643"/>
      <c r="GD13" s="629"/>
      <c r="GE13" s="630"/>
      <c r="GF13" s="619"/>
      <c r="GG13" s="620"/>
      <c r="GH13" s="619"/>
      <c r="GI13" s="620"/>
      <c r="GJ13" s="620"/>
      <c r="GK13" s="643"/>
      <c r="GL13" s="629"/>
      <c r="GM13" s="630"/>
      <c r="GN13" s="619"/>
      <c r="GO13" s="620"/>
      <c r="GP13" s="619"/>
      <c r="GQ13" s="620"/>
      <c r="GR13" s="620"/>
      <c r="GS13" s="643"/>
      <c r="GT13" s="629"/>
      <c r="GU13" s="630"/>
      <c r="GV13" s="619"/>
      <c r="GW13" s="620"/>
      <c r="GX13" s="619"/>
      <c r="GY13" s="620"/>
      <c r="GZ13" s="620"/>
      <c r="HA13" s="643"/>
      <c r="HB13" s="174"/>
      <c r="HC13" s="54"/>
      <c r="HD13" s="54"/>
      <c r="HE13" s="54"/>
      <c r="HF13" s="73"/>
      <c r="HG13" s="432"/>
      <c r="HH13" s="433"/>
      <c r="HI13" s="433"/>
      <c r="HJ13" s="433"/>
      <c r="HK13" s="433"/>
      <c r="HL13" s="433"/>
      <c r="HM13" s="433"/>
      <c r="HN13" s="433"/>
      <c r="HO13" s="435"/>
      <c r="HP13" s="434"/>
      <c r="HQ13" s="174"/>
    </row>
    <row r="14" spans="1:228" ht="15" customHeight="1" thickBot="1" x14ac:dyDescent="0.35">
      <c r="A14" s="715" t="s">
        <v>335</v>
      </c>
      <c r="B14" s="54"/>
      <c r="C14" s="54"/>
      <c r="D14" s="54"/>
      <c r="E14" s="54"/>
      <c r="F14" s="54"/>
      <c r="G14" s="54"/>
      <c r="H14" s="54"/>
      <c r="I14" s="721"/>
      <c r="J14" s="722" t="s">
        <v>336</v>
      </c>
      <c r="K14" s="281" t="s">
        <v>221</v>
      </c>
      <c r="L14" s="282" t="s">
        <v>42</v>
      </c>
      <c r="M14" s="102" t="s">
        <v>43</v>
      </c>
      <c r="N14" s="102" t="s">
        <v>44</v>
      </c>
      <c r="O14" s="72" t="s">
        <v>295</v>
      </c>
      <c r="P14" s="102" t="s">
        <v>256</v>
      </c>
      <c r="Q14" s="283" t="s">
        <v>137</v>
      </c>
      <c r="R14" s="54"/>
      <c r="S14" s="54"/>
      <c r="T14" s="54"/>
      <c r="U14" s="54"/>
      <c r="V14" s="737" t="s">
        <v>374</v>
      </c>
      <c r="W14" s="738"/>
      <c r="X14" s="738"/>
      <c r="Y14" s="738"/>
      <c r="Z14" s="738"/>
      <c r="AA14" s="738"/>
      <c r="AB14" s="738"/>
      <c r="AC14" s="738"/>
      <c r="AD14" s="738"/>
      <c r="AE14" s="739"/>
      <c r="AF14" s="54"/>
      <c r="AG14" s="337">
        <f>Properties!$T$10</f>
        <v>0.5</v>
      </c>
      <c r="AH14" s="128">
        <f ca="1">Properties!$DA14</f>
        <v>0</v>
      </c>
      <c r="AI14" s="129" cm="1">
        <f t="array" aca="1" ref="AI14" ca="1">IFERROR(((AH14+AH15)/2*(AG15-AG14)),AH14/2)+(_xlfn.IFNA((CX44-CX47)*AWE*VLOOKUP(AG14,SocialWTP,2,TRUE),0))</f>
        <v>0</v>
      </c>
      <c r="AJ14" s="54"/>
      <c r="AK14" s="54"/>
      <c r="AL14" s="54"/>
      <c r="AM14" s="54"/>
      <c r="AN14"/>
      <c r="AO14"/>
      <c r="AP14"/>
      <c r="AQ14"/>
      <c r="AR14"/>
      <c r="AS14"/>
      <c r="AT14"/>
      <c r="AU14"/>
      <c r="AV14"/>
      <c r="AW14"/>
      <c r="AX14"/>
      <c r="AY14"/>
      <c r="AZ14"/>
      <c r="BA14"/>
      <c r="BB14"/>
      <c r="BC14"/>
      <c r="BD14"/>
      <c r="BE14"/>
      <c r="BF14"/>
      <c r="BG14"/>
      <c r="BH14"/>
      <c r="BI14"/>
      <c r="BJ14"/>
      <c r="BK14"/>
      <c r="BL14"/>
      <c r="BM14"/>
      <c r="BN14"/>
      <c r="BO14"/>
      <c r="BP14"/>
      <c r="BQ14"/>
      <c r="BR14" s="54"/>
      <c r="BS14" s="348">
        <f>$EA$15</f>
        <v>119</v>
      </c>
      <c r="BT14" s="349">
        <f>$EC$15</f>
        <v>119</v>
      </c>
      <c r="BU14" s="350">
        <f>$EE$15</f>
        <v>119</v>
      </c>
      <c r="BV14" s="351">
        <f>$EG$15</f>
        <v>0</v>
      </c>
      <c r="BW14" s="352">
        <f>BS14+BV14</f>
        <v>119</v>
      </c>
      <c r="BX14" s="88" t="s">
        <v>101</v>
      </c>
      <c r="BY14" s="87" t="str">
        <f>TEXT($T$10,"0%")&amp;" AEP"</f>
        <v>50% AEP</v>
      </c>
      <c r="BZ14" s="353">
        <f>$DL$11</f>
        <v>0</v>
      </c>
      <c r="CA14" s="86">
        <f>MAX(DL$7,DL$8)</f>
        <v>0</v>
      </c>
      <c r="CB14" s="86" t="str">
        <f>$DL$14</f>
        <v>--</v>
      </c>
      <c r="CC14" s="80">
        <f ca="1">$GL$15</f>
        <v>0</v>
      </c>
      <c r="CD14" s="54"/>
      <c r="CE14" s="87" t="str">
        <f>TEXT($T$10,"0%")&amp;" AEP"</f>
        <v>50% AEP</v>
      </c>
      <c r="CF14" s="353">
        <f>$DL$11</f>
        <v>0</v>
      </c>
      <c r="CG14" s="86">
        <f>MAX(DL$7,DL$8)</f>
        <v>0</v>
      </c>
      <c r="CH14" s="86" t="str">
        <f>$DL$14</f>
        <v>--</v>
      </c>
      <c r="CI14" s="80">
        <f ca="1">$GN$15</f>
        <v>0</v>
      </c>
      <c r="CJ14" s="54"/>
      <c r="CK14" s="124" t="str">
        <f>TEXT($T$10,"0%")&amp;" AEP"</f>
        <v>50% AEP</v>
      </c>
      <c r="CL14" s="354">
        <f>$DV$11</f>
        <v>0</v>
      </c>
      <c r="CM14" s="122">
        <f>MAX(DP$7,DP$8)</f>
        <v>3.13</v>
      </c>
      <c r="CN14" s="122" t="str">
        <f>$DV$14</f>
        <v>--</v>
      </c>
      <c r="CO14" s="125">
        <f>$GP$15</f>
        <v>0</v>
      </c>
      <c r="CP14" s="54"/>
      <c r="CQ14" s="124" t="str">
        <f>TEXT($T$10,"0%")&amp;" AEP"</f>
        <v>50% AEP</v>
      </c>
      <c r="CR14" s="354">
        <f>$DV$11</f>
        <v>0</v>
      </c>
      <c r="CS14" s="122">
        <f>MAX(DV$7,DV$8)</f>
        <v>0</v>
      </c>
      <c r="CT14" s="122" t="str">
        <f>$DV$14</f>
        <v>--</v>
      </c>
      <c r="CU14" s="125">
        <f>$GR$15</f>
        <v>0</v>
      </c>
      <c r="CV14" s="54"/>
      <c r="CW14" s="124" t="str">
        <f>TEXT($T$10,"0%")&amp;" AEP"</f>
        <v>50% AEP</v>
      </c>
      <c r="CX14" s="354">
        <f>MAX(SummaryStructural[[#This Row],[Over Floor Flooding]],SummaryInternal[[#This Row],[Over Floor Flooding]],SummaryExternal[[#This Row],[Over Ground Flooding]],SummaryRiskToLife[[#This Row],[Over Ground Flooding]])</f>
        <v>0</v>
      </c>
      <c r="CY14" s="122">
        <f>MAX(SummaryStructural[[#This Row],[Max Over Floor Depth (m)]],SummaryInternal[[#This Row],[Max Over Floor Depth (m)]])</f>
        <v>0</v>
      </c>
      <c r="CZ14" s="122">
        <f>SummaryExternal[[#This Row],[Max Over Ground Depth (m)]]</f>
        <v>3.13</v>
      </c>
      <c r="DA14" s="125">
        <f ca="1">SUM(SummaryStructural[[#This Row],[Total Damages ]],SummaryInternal[[#This Row],[Total Damages ]],SummaryExternal[[#This Row],[Total Damages]],SummaryRiskToLife[[#This Row],[Total Damages ]])</f>
        <v>0</v>
      </c>
      <c r="DB14" s="54"/>
      <c r="DC14" s="114" t="s">
        <v>96</v>
      </c>
      <c r="DD14" s="115">
        <f t="shared" ref="DD14:DW14" si="90">IFERROR(AVERAGEIF(DD19:DD9999,"&gt;0"),"--")</f>
        <v>1.8753497762741462</v>
      </c>
      <c r="DE14" s="115">
        <f t="shared" si="90"/>
        <v>1.0258108108108099</v>
      </c>
      <c r="DF14" s="115">
        <f t="shared" si="90"/>
        <v>0.8610937500000001</v>
      </c>
      <c r="DG14" s="115">
        <f t="shared" si="90"/>
        <v>0.76469387755102025</v>
      </c>
      <c r="DH14" s="115">
        <f t="shared" si="90"/>
        <v>0.72592592592592575</v>
      </c>
      <c r="DI14" s="115">
        <f t="shared" si="90"/>
        <v>0.43789473684210528</v>
      </c>
      <c r="DJ14" s="115">
        <f t="shared" si="90"/>
        <v>0.24500000000000033</v>
      </c>
      <c r="DK14" s="115" t="str">
        <f t="shared" si="90"/>
        <v>--</v>
      </c>
      <c r="DL14" s="115" t="str">
        <f t="shared" si="90"/>
        <v>--</v>
      </c>
      <c r="DM14" s="115" t="str">
        <f t="shared" si="90"/>
        <v>--</v>
      </c>
      <c r="DN14" s="115">
        <f t="shared" si="90"/>
        <v>2.4416522972825483</v>
      </c>
      <c r="DO14" s="115">
        <f t="shared" si="90"/>
        <v>1.2926262626262628</v>
      </c>
      <c r="DP14" s="115">
        <f t="shared" si="90"/>
        <v>1.1061111111111108</v>
      </c>
      <c r="DQ14" s="115">
        <f t="shared" si="90"/>
        <v>0.97723684210526296</v>
      </c>
      <c r="DR14" s="115">
        <f t="shared" si="90"/>
        <v>0.7927777777777778</v>
      </c>
      <c r="DS14" s="115">
        <f t="shared" si="90"/>
        <v>0.74645161290322581</v>
      </c>
      <c r="DT14" s="115">
        <f t="shared" si="90"/>
        <v>0.52090909090909132</v>
      </c>
      <c r="DU14" s="115" t="str">
        <f t="shared" si="90"/>
        <v>--</v>
      </c>
      <c r="DV14" s="115" t="str">
        <f t="shared" si="90"/>
        <v>--</v>
      </c>
      <c r="DW14" s="116" t="str">
        <f t="shared" si="90"/>
        <v>--</v>
      </c>
      <c r="DX14" s="54"/>
      <c r="DY14" s="73" t="s">
        <v>366</v>
      </c>
      <c r="DZ14" s="628">
        <f ca="1">IFERROR(DZ15/EA15,"--")</f>
        <v>155228.16262155707</v>
      </c>
      <c r="EA14" s="622"/>
      <c r="EB14" s="615">
        <f ca="1">IFERROR(EB15/EC15,"--")</f>
        <v>77966.242917653421</v>
      </c>
      <c r="EC14" s="622"/>
      <c r="ED14" s="615">
        <f>IFERROR(ED15/EE15,"--")</f>
        <v>13451.720196037893</v>
      </c>
      <c r="EE14" s="622"/>
      <c r="EF14" s="615" t="str">
        <f t="shared" ref="EF14" si="91">IFERROR(EF15/EG15,"--")</f>
        <v>--</v>
      </c>
      <c r="EG14" s="616"/>
      <c r="EH14" s="628">
        <f t="shared" ref="EH14" ca="1" si="92">IFERROR(EH15/EI15,"--")</f>
        <v>121917.3488127583</v>
      </c>
      <c r="EI14" s="622"/>
      <c r="EJ14" s="615">
        <f t="shared" ref="EJ14" ca="1" si="93">IFERROR(EJ15/EK15,"--")</f>
        <v>67346.991565378106</v>
      </c>
      <c r="EK14" s="622"/>
      <c r="EL14" s="615">
        <f t="shared" ref="EL14" si="94">IFERROR(EL15/EM15,"--")</f>
        <v>12040.922977970735</v>
      </c>
      <c r="EM14" s="622"/>
      <c r="EN14" s="615" t="str">
        <f t="shared" ref="EN14" si="95">IFERROR(EN15/EO15,"--")</f>
        <v>--</v>
      </c>
      <c r="EO14" s="616"/>
      <c r="EP14" s="628">
        <f t="shared" ref="EP14" ca="1" si="96">IFERROR(EP15/EQ15,"--")</f>
        <v>114530.68692536661</v>
      </c>
      <c r="EQ14" s="622"/>
      <c r="ER14" s="615">
        <f t="shared" ref="ER14" ca="1" si="97">IFERROR(ER15/ES15,"--")</f>
        <v>63483.277737382443</v>
      </c>
      <c r="ES14" s="622"/>
      <c r="ET14" s="615">
        <f t="shared" ref="ET14" si="98">IFERROR(ET15/EU15,"--")</f>
        <v>11731.299244251484</v>
      </c>
      <c r="EU14" s="622"/>
      <c r="EV14" s="615" t="str">
        <f t="shared" ref="EV14" si="99">IFERROR(EV15/EW15,"--")</f>
        <v>--</v>
      </c>
      <c r="EW14" s="616"/>
      <c r="EX14" s="628">
        <f t="shared" ref="EX14" ca="1" si="100">IFERROR(EX15/EY15,"--")</f>
        <v>104407.23795436893</v>
      </c>
      <c r="EY14" s="622"/>
      <c r="EZ14" s="615">
        <f t="shared" ref="EZ14" ca="1" si="101">IFERROR(EZ15/FA15,"--")</f>
        <v>62390.973330326415</v>
      </c>
      <c r="FA14" s="622"/>
      <c r="FB14" s="615">
        <f t="shared" ref="FB14" si="102">IFERROR(FB15/FC15,"--")</f>
        <v>11651.629979434838</v>
      </c>
      <c r="FC14" s="622"/>
      <c r="FD14" s="615" t="str">
        <f t="shared" ref="FD14" si="103">IFERROR(FD15/FE15,"--")</f>
        <v>--</v>
      </c>
      <c r="FE14" s="616"/>
      <c r="FF14" s="628">
        <f t="shared" ref="FF14" ca="1" si="104">IFERROR(FF15/FG15,"--")</f>
        <v>117177.78390166821</v>
      </c>
      <c r="FG14" s="622"/>
      <c r="FH14" s="615">
        <f t="shared" ref="FH14" ca="1" si="105">IFERROR(FH15/FI15,"--")</f>
        <v>67968.844030286855</v>
      </c>
      <c r="FI14" s="622"/>
      <c r="FJ14" s="615">
        <f t="shared" ref="FJ14" si="106">IFERROR(FJ15/FK15,"--")</f>
        <v>11668.227742938308</v>
      </c>
      <c r="FK14" s="622"/>
      <c r="FL14" s="615" t="str">
        <f t="shared" ref="FL14" si="107">IFERROR(FL15/FM15,"--")</f>
        <v>--</v>
      </c>
      <c r="FM14" s="616"/>
      <c r="FN14" s="628">
        <f t="shared" ref="FN14" ca="1" si="108">IFERROR(FN15/FO15,"--")</f>
        <v>80471.580111467396</v>
      </c>
      <c r="FO14" s="622"/>
      <c r="FP14" s="615">
        <f t="shared" ref="FP14" ca="1" si="109">IFERROR(FP15/FQ15,"--")</f>
        <v>49849.376467574461</v>
      </c>
      <c r="FQ14" s="622"/>
      <c r="FR14" s="615">
        <f t="shared" ref="FR14" si="110">IFERROR(FR15/FS15,"--")</f>
        <v>11535.981046636478</v>
      </c>
      <c r="FS14" s="622"/>
      <c r="FT14" s="615" t="str">
        <f t="shared" ref="FT14" si="111">IFERROR(FT15/FU15,"--")</f>
        <v>--</v>
      </c>
      <c r="FU14" s="616"/>
      <c r="FV14" s="628">
        <f t="shared" ref="FV14" ca="1" si="112">IFERROR(FV15/FW15,"--")</f>
        <v>91426.319640416463</v>
      </c>
      <c r="FW14" s="622"/>
      <c r="FX14" s="615">
        <f t="shared" ref="FX14" ca="1" si="113">IFERROR(FX15/FY15,"--")</f>
        <v>49813.94742171307</v>
      </c>
      <c r="FY14" s="622"/>
      <c r="FZ14" s="615">
        <f t="shared" ref="FZ14" si="114">IFERROR(FZ15/GA15,"--")</f>
        <v>10836.83068017366</v>
      </c>
      <c r="GA14" s="622"/>
      <c r="GB14" s="615" t="str">
        <f t="shared" ref="GB14" si="115">IFERROR(GB15/GC15,"--")</f>
        <v>--</v>
      </c>
      <c r="GC14" s="616"/>
      <c r="GD14" s="628" t="str">
        <f t="shared" ref="GD14" ca="1" si="116">IFERROR(GD15/GE15,"--")</f>
        <v>--</v>
      </c>
      <c r="GE14" s="622"/>
      <c r="GF14" s="615" t="str">
        <f t="shared" ref="GF14" ca="1" si="117">IFERROR(GF15/GG15,"--")</f>
        <v>--</v>
      </c>
      <c r="GG14" s="622"/>
      <c r="GH14" s="615" t="str">
        <f t="shared" ref="GH14" si="118">IFERROR(GH15/GI15,"--")</f>
        <v>--</v>
      </c>
      <c r="GI14" s="622"/>
      <c r="GJ14" s="615" t="str">
        <f t="shared" ref="GJ14" si="119">IFERROR(GJ15/GK15,"--")</f>
        <v>--</v>
      </c>
      <c r="GK14" s="616"/>
      <c r="GL14" s="628" t="str">
        <f t="shared" ref="GL14" ca="1" si="120">IFERROR(GL15/GM15,"--")</f>
        <v>--</v>
      </c>
      <c r="GM14" s="622"/>
      <c r="GN14" s="615" t="str">
        <f t="shared" ref="GN14" ca="1" si="121">IFERROR(GN15/GO15,"--")</f>
        <v>--</v>
      </c>
      <c r="GO14" s="622"/>
      <c r="GP14" s="615" t="str">
        <f t="shared" ref="GP14" si="122">IFERROR(GP15/GQ15,"--")</f>
        <v>--</v>
      </c>
      <c r="GQ14" s="622"/>
      <c r="GR14" s="615" t="str">
        <f t="shared" ref="GR14" si="123">IFERROR(GR15/GS15,"--")</f>
        <v>--</v>
      </c>
      <c r="GS14" s="616"/>
      <c r="GT14" s="628" t="str">
        <f t="shared" ref="GT14" ca="1" si="124">IFERROR(GT15/GU15,"--")</f>
        <v>--</v>
      </c>
      <c r="GU14" s="622"/>
      <c r="GV14" s="615" t="str">
        <f t="shared" ref="GV14" ca="1" si="125">IFERROR(GV15/GW15,"--")</f>
        <v>--</v>
      </c>
      <c r="GW14" s="622"/>
      <c r="GX14" s="615" t="str">
        <f t="shared" ref="GX14" si="126">IFERROR(GX15/GY15,"--")</f>
        <v>--</v>
      </c>
      <c r="GY14" s="622"/>
      <c r="GZ14" s="615" t="str">
        <f t="shared" ref="GZ14" si="127">IFERROR(GZ15/HA15,"--")</f>
        <v>--</v>
      </c>
      <c r="HA14" s="616"/>
      <c r="HB14" s="174" t="s">
        <v>366</v>
      </c>
      <c r="HC14" s="54"/>
      <c r="HD14" s="54"/>
      <c r="HE14" s="54"/>
      <c r="HF14" s="73" t="s">
        <v>366</v>
      </c>
      <c r="HG14" s="429">
        <f t="shared" ca="1" si="38"/>
        <v>246646.12573524838</v>
      </c>
      <c r="HH14" s="430">
        <f t="shared" ca="1" si="39"/>
        <v>201305.26335610714</v>
      </c>
      <c r="HI14" s="430">
        <f t="shared" ca="1" si="40"/>
        <v>189745.26390700054</v>
      </c>
      <c r="HJ14" s="430">
        <f t="shared" ca="1" si="41"/>
        <v>178449.84126413017</v>
      </c>
      <c r="HK14" s="430">
        <f t="shared" ca="1" si="42"/>
        <v>196814.85567489336</v>
      </c>
      <c r="HL14" s="430">
        <f t="shared" ca="1" si="43"/>
        <v>141856.93762567834</v>
      </c>
      <c r="HM14" s="430">
        <f t="shared" ca="1" si="44"/>
        <v>152077.09774230319</v>
      </c>
      <c r="HN14" s="430">
        <f t="shared" ca="1" si="45"/>
        <v>0</v>
      </c>
      <c r="HO14" s="430">
        <f t="shared" ca="1" si="46"/>
        <v>0</v>
      </c>
      <c r="HP14" s="431">
        <f t="shared" ca="1" si="47"/>
        <v>0</v>
      </c>
      <c r="HQ14" s="174" t="s">
        <v>366</v>
      </c>
    </row>
    <row r="15" spans="1:228" ht="15" customHeight="1" thickBot="1" x14ac:dyDescent="0.35">
      <c r="A15" s="716"/>
      <c r="B15" s="54"/>
      <c r="C15" s="54"/>
      <c r="D15" s="54"/>
      <c r="E15" s="54"/>
      <c r="F15" s="54"/>
      <c r="G15" s="58"/>
      <c r="H15" s="54"/>
      <c r="I15" s="721"/>
      <c r="J15" s="722"/>
      <c r="K15" s="284" t="s">
        <v>309</v>
      </c>
      <c r="L15" s="294">
        <f>Inputs!$C$30</f>
        <v>90</v>
      </c>
      <c r="M15" s="295">
        <f>Inputs!$D$30</f>
        <v>180</v>
      </c>
      <c r="N15" s="295">
        <f>Inputs!$E$30</f>
        <v>240</v>
      </c>
      <c r="O15" s="297">
        <f>Inputs!$F$30</f>
        <v>220</v>
      </c>
      <c r="P15" s="295">
        <f>Inputs!$G$30</f>
        <v>100</v>
      </c>
      <c r="Q15" s="296">
        <f>Inputs!$H$30</f>
        <v>160</v>
      </c>
      <c r="R15" s="54"/>
      <c r="S15" s="54"/>
      <c r="T15" s="54"/>
      <c r="U15" s="54"/>
      <c r="V15" s="740"/>
      <c r="W15" s="741"/>
      <c r="X15" s="741"/>
      <c r="Y15" s="741"/>
      <c r="Z15" s="741"/>
      <c r="AA15" s="741"/>
      <c r="AB15" s="741"/>
      <c r="AC15" s="741"/>
      <c r="AD15" s="741"/>
      <c r="AE15" s="742"/>
      <c r="AF15" s="54"/>
      <c r="AG15" s="337">
        <f>Properties!$U$10</f>
        <v>1</v>
      </c>
      <c r="AH15" s="128">
        <f ca="1">Properties!$DA15</f>
        <v>0</v>
      </c>
      <c r="AI15" s="129">
        <f ca="1">IFERROR(((AH15+AH16)/2*(AG16-AG15)),AH15/2)</f>
        <v>0</v>
      </c>
      <c r="AJ15" s="54"/>
      <c r="AK15" s="340" t="s">
        <v>297</v>
      </c>
      <c r="AL15" s="54"/>
      <c r="AM15" s="54"/>
      <c r="AN15" t="s">
        <v>233</v>
      </c>
      <c r="AO15"/>
      <c r="AP15"/>
      <c r="AQ15"/>
      <c r="AR15"/>
      <c r="AS15"/>
      <c r="AT15"/>
      <c r="AU15"/>
      <c r="AV15"/>
      <c r="AW15"/>
      <c r="AX15"/>
      <c r="AY15"/>
      <c r="AZ15"/>
      <c r="BA15"/>
      <c r="BB15"/>
      <c r="BC15"/>
      <c r="BD15"/>
      <c r="BE15"/>
      <c r="BF15"/>
      <c r="BG15"/>
      <c r="BH15"/>
      <c r="BI15"/>
      <c r="BJ15"/>
      <c r="BK15"/>
      <c r="BL15"/>
      <c r="BM15"/>
      <c r="BN15"/>
      <c r="BO15"/>
      <c r="BP15"/>
      <c r="BQ15"/>
      <c r="BR15" s="54"/>
      <c r="BS15" s="149">
        <f ca="1">SUM(BS19:BS9999)</f>
        <v>241223.48951411646</v>
      </c>
      <c r="BT15" s="150">
        <f ca="1">SUM(BT19:BT9999)</f>
        <v>136708.32360297354</v>
      </c>
      <c r="BU15" s="151">
        <f>SUM(BU19:BU9999)</f>
        <v>46616.639725036141</v>
      </c>
      <c r="BV15" s="312">
        <f>SUM(BV19:BV9999)</f>
        <v>0</v>
      </c>
      <c r="BW15" s="314">
        <f ca="1">SUM(BW19:BW9999)</f>
        <v>424548.45284212584</v>
      </c>
      <c r="BX15" s="88" t="s">
        <v>102</v>
      </c>
      <c r="BY15" s="87" t="str">
        <f>TEXT($U$10,"0%")&amp;" AEP"</f>
        <v>100% AEP</v>
      </c>
      <c r="BZ15" s="353">
        <f>$DM$11</f>
        <v>0</v>
      </c>
      <c r="CA15" s="86">
        <f>MAX(DM$7,DM$8)</f>
        <v>0</v>
      </c>
      <c r="CB15" s="86" t="str">
        <f>$DM$14</f>
        <v>--</v>
      </c>
      <c r="CC15" s="80">
        <f ca="1">$GT$15</f>
        <v>0</v>
      </c>
      <c r="CD15" s="54"/>
      <c r="CE15" s="87" t="str">
        <f>TEXT($U$10,"0%")&amp;" AEP"</f>
        <v>100% AEP</v>
      </c>
      <c r="CF15" s="353">
        <f>$DM$11</f>
        <v>0</v>
      </c>
      <c r="CG15" s="86">
        <f>MAX(DM$7,DM$8)</f>
        <v>0</v>
      </c>
      <c r="CH15" s="86" t="str">
        <f>$DM$14</f>
        <v>--</v>
      </c>
      <c r="CI15" s="80">
        <f ca="1">$GV$15</f>
        <v>0</v>
      </c>
      <c r="CJ15" s="54"/>
      <c r="CK15" s="124" t="str">
        <f>TEXT($U$10,"0%")&amp;" AEP"</f>
        <v>100% AEP</v>
      </c>
      <c r="CL15" s="354">
        <f>$DW$11</f>
        <v>0</v>
      </c>
      <c r="CM15" s="122">
        <f>MAX(DQ$7,DQ$8)</f>
        <v>2.83</v>
      </c>
      <c r="CN15" s="122" t="str">
        <f>$DW$14</f>
        <v>--</v>
      </c>
      <c r="CO15" s="125">
        <f>$GX$15</f>
        <v>0</v>
      </c>
      <c r="CP15" s="54"/>
      <c r="CQ15" s="124" t="str">
        <f>TEXT($U$10,"0%")&amp;" AEP"</f>
        <v>100% AEP</v>
      </c>
      <c r="CR15" s="354">
        <f>$DW$11</f>
        <v>0</v>
      </c>
      <c r="CS15" s="122">
        <f>MAX(DW$7,DW$8)</f>
        <v>0</v>
      </c>
      <c r="CT15" s="122" t="str">
        <f>$DW$14</f>
        <v>--</v>
      </c>
      <c r="CU15" s="125">
        <f>$GZ$15</f>
        <v>0</v>
      </c>
      <c r="CV15" s="54"/>
      <c r="CW15" s="124" t="str">
        <f>TEXT($U$10,"0%")&amp;" AEP"</f>
        <v>100% AEP</v>
      </c>
      <c r="CX15" s="354">
        <f>MAX(SummaryStructural[[#This Row],[Over Floor Flooding]],SummaryInternal[[#This Row],[Over Floor Flooding]],SummaryExternal[[#This Row],[Over Ground Flooding]],SummaryRiskToLife[[#This Row],[Over Ground Flooding]])</f>
        <v>0</v>
      </c>
      <c r="CY15" s="122">
        <f>MAX(SummaryStructural[[#This Row],[Max Over Floor Depth (m)]],SummaryInternal[[#This Row],[Max Over Floor Depth (m)]])</f>
        <v>0</v>
      </c>
      <c r="CZ15" s="122">
        <f>SummaryExternal[[#This Row],[Max Over Ground Depth (m)]]</f>
        <v>2.83</v>
      </c>
      <c r="DA15" s="125">
        <f ca="1">SUM(SummaryStructural[[#This Row],[Total Damages ]],SummaryInternal[[#This Row],[Total Damages ]],SummaryExternal[[#This Row],[Total Damages]],SummaryRiskToLife[[#This Row],[Total Damages ]])</f>
        <v>0</v>
      </c>
      <c r="DB15" s="54"/>
      <c r="DC15" s="54"/>
      <c r="DD15" s="60"/>
      <c r="DE15" s="60"/>
      <c r="DF15" s="60"/>
      <c r="DG15" s="60"/>
      <c r="DH15" s="60"/>
      <c r="DI15" s="60"/>
      <c r="DJ15" s="60"/>
      <c r="DK15" s="60"/>
      <c r="DL15" s="60"/>
      <c r="DM15" s="60"/>
      <c r="DN15" s="60"/>
      <c r="DO15" s="60"/>
      <c r="DP15" s="60"/>
      <c r="DQ15" s="60"/>
      <c r="DR15" s="60"/>
      <c r="DS15" s="60"/>
      <c r="DT15" s="60"/>
      <c r="DU15" s="60"/>
      <c r="DV15" s="60"/>
      <c r="DW15" s="60"/>
      <c r="DX15" s="54"/>
      <c r="DY15" s="73" t="s">
        <v>367</v>
      </c>
      <c r="DZ15" s="299">
        <f ca="1">SUM(DZ19:DZ9999)+Infrastructure*DZ$10</f>
        <v>18472151.351965293</v>
      </c>
      <c r="EA15" s="366">
        <f t="shared" ref="EA15:EG15" si="128">SUM(EA19:EA9999)</f>
        <v>119</v>
      </c>
      <c r="EB15" s="300">
        <f ca="1">SUM(EB19:EB9999)+Infrastructure*EB$10</f>
        <v>9277982.9072007574</v>
      </c>
      <c r="EC15" s="366">
        <f t="shared" si="128"/>
        <v>119</v>
      </c>
      <c r="ED15" s="300">
        <f>SUM(ED19:ED9999)+Infrastructure*ED$10</f>
        <v>1600754.7033285093</v>
      </c>
      <c r="EE15" s="366">
        <f t="shared" si="128"/>
        <v>119</v>
      </c>
      <c r="EF15" s="300">
        <f>SUM(EF19:EF9999)+Infrastructure*EF$10</f>
        <v>0</v>
      </c>
      <c r="EG15" s="367">
        <f t="shared" si="128"/>
        <v>0</v>
      </c>
      <c r="EH15" s="299">
        <f ca="1">SUM(EH19:EH9999)+Infrastructure*EH$10</f>
        <v>9021883.8121441137</v>
      </c>
      <c r="EI15" s="366">
        <f t="shared" ref="EI15" si="129">SUM(EI19:EI9999)</f>
        <v>74</v>
      </c>
      <c r="EJ15" s="300">
        <f ca="1">SUM(EJ19:EJ9999)+Infrastructure*EJ$10</f>
        <v>4983677.3758379798</v>
      </c>
      <c r="EK15" s="366">
        <f t="shared" ref="EK15" si="130">SUM(EK19:EK9999)</f>
        <v>74</v>
      </c>
      <c r="EL15" s="300">
        <f>SUM(EL19:EL9999)+Infrastructure*EL$10</f>
        <v>1192051.3748191027</v>
      </c>
      <c r="EM15" s="366">
        <f t="shared" ref="EM15" si="131">SUM(EM19:EM9999)</f>
        <v>99</v>
      </c>
      <c r="EN15" s="300">
        <f>SUM(EN19:EN9999)+Infrastructure*EN$10</f>
        <v>0</v>
      </c>
      <c r="EO15" s="367">
        <f t="shared" ref="EO15" si="132">SUM(EO19:EO9999)</f>
        <v>0</v>
      </c>
      <c r="EP15" s="299">
        <f ca="1">SUM(EP19:EP9999)+Infrastructure*EP$10</f>
        <v>7329963.9632234629</v>
      </c>
      <c r="EQ15" s="366">
        <f t="shared" ref="EQ15" si="133">SUM(EQ19:EQ9999)</f>
        <v>64</v>
      </c>
      <c r="ER15" s="300">
        <f ca="1">SUM(ER19:ER9999)+Infrastructure*ER$10</f>
        <v>4062929.7751924763</v>
      </c>
      <c r="ES15" s="366">
        <f t="shared" ref="ES15" si="134">SUM(ES19:ES9999)</f>
        <v>64</v>
      </c>
      <c r="ET15" s="300">
        <f>SUM(ET19:ET9999)+Infrastructure*ET$10</f>
        <v>1055816.9319826337</v>
      </c>
      <c r="EU15" s="366">
        <f t="shared" ref="EU15" si="135">SUM(EU19:EU9999)</f>
        <v>90</v>
      </c>
      <c r="EV15" s="300">
        <f>SUM(EV19:EV9999)+Infrastructure*EV$10</f>
        <v>0</v>
      </c>
      <c r="EW15" s="367">
        <f t="shared" ref="EW15" si="136">SUM(EW19:EW9999)</f>
        <v>0</v>
      </c>
      <c r="EX15" s="299">
        <f ca="1">SUM(EX19:EX9999)+Infrastructure*EX$10</f>
        <v>5115954.6597640775</v>
      </c>
      <c r="EY15" s="366">
        <f t="shared" ref="EY15" si="137">SUM(EY19:EY9999)</f>
        <v>49</v>
      </c>
      <c r="EZ15" s="300">
        <f ca="1">SUM(EZ19:EZ9999)+Infrastructure*EZ$10</f>
        <v>3057157.6931859944</v>
      </c>
      <c r="FA15" s="366">
        <f t="shared" ref="FA15" si="138">SUM(FA19:FA9999)</f>
        <v>49</v>
      </c>
      <c r="FB15" s="300">
        <f>SUM(FB19:FB9999)+Infrastructure*FB$10</f>
        <v>885523.87843704771</v>
      </c>
      <c r="FC15" s="366">
        <f t="shared" ref="FC15" si="139">SUM(FC19:FC9999)</f>
        <v>76</v>
      </c>
      <c r="FD15" s="300">
        <f>SUM(FD19:FD9999)+Infrastructure*FD$10</f>
        <v>0</v>
      </c>
      <c r="FE15" s="367">
        <f t="shared" ref="FE15" si="140">SUM(FE19:FE9999)</f>
        <v>0</v>
      </c>
      <c r="FF15" s="299">
        <f ca="1">SUM(FF19:FF9999)+Infrastructure*FF$10</f>
        <v>3163800.1653450415</v>
      </c>
      <c r="FG15" s="366">
        <f t="shared" ref="FG15" si="141">SUM(FG19:FG9999)</f>
        <v>27</v>
      </c>
      <c r="FH15" s="300">
        <f ca="1">SUM(FH19:FH9999)+Infrastructure*FH$10</f>
        <v>1835158.7888177452</v>
      </c>
      <c r="FI15" s="366">
        <f t="shared" ref="FI15" si="142">SUM(FI19:FI9999)</f>
        <v>27</v>
      </c>
      <c r="FJ15" s="300">
        <f>SUM(FJ19:FJ9999)+Infrastructure*FJ$10</f>
        <v>630084.29811866861</v>
      </c>
      <c r="FK15" s="366">
        <f t="shared" ref="FK15" si="143">SUM(FK19:FK9999)</f>
        <v>54</v>
      </c>
      <c r="FL15" s="300">
        <f>SUM(FL19:FL9999)+Infrastructure*FL$10</f>
        <v>0</v>
      </c>
      <c r="FM15" s="367">
        <f t="shared" ref="FM15" si="144">SUM(FM19:FM9999)</f>
        <v>0</v>
      </c>
      <c r="FN15" s="299">
        <f ca="1">SUM(FN19:FN9999)+Infrastructure*FN$10</f>
        <v>1528960.0221178806</v>
      </c>
      <c r="FO15" s="366">
        <f t="shared" ref="FO15" si="145">SUM(FO19:FO9999)</f>
        <v>19</v>
      </c>
      <c r="FP15" s="300">
        <f ca="1">SUM(FP19:FP9999)+Infrastructure*FP$10</f>
        <v>947138.15288391476</v>
      </c>
      <c r="FQ15" s="366">
        <f t="shared" ref="FQ15" si="146">SUM(FQ19:FQ9999)</f>
        <v>19</v>
      </c>
      <c r="FR15" s="300">
        <f>SUM(FR19:FR9999)+Infrastructure*FR$10</f>
        <v>357615.41244573082</v>
      </c>
      <c r="FS15" s="366">
        <f t="shared" ref="FS15" si="147">SUM(FS19:FS9999)</f>
        <v>31</v>
      </c>
      <c r="FT15" s="300">
        <f>SUM(FT19:FT9999)+Infrastructure*FT$10</f>
        <v>0</v>
      </c>
      <c r="FU15" s="367">
        <f t="shared" ref="FU15" si="148">SUM(FU19:FU9999)</f>
        <v>0</v>
      </c>
      <c r="FV15" s="299">
        <f ca="1">SUM(FV19:FV9999)+Infrastructure*FV$10</f>
        <v>365705.27856166585</v>
      </c>
      <c r="FW15" s="366">
        <f t="shared" ref="FW15" si="149">SUM(FW19:FW9999)</f>
        <v>4</v>
      </c>
      <c r="FX15" s="300">
        <f ca="1">SUM(FX19:FX9999)+Infrastructure*FX$10</f>
        <v>199255.78968685228</v>
      </c>
      <c r="FY15" s="366">
        <f t="shared" ref="FY15" si="150">SUM(FY19:FY9999)</f>
        <v>4</v>
      </c>
      <c r="FZ15" s="300">
        <f>SUM(FZ19:FZ9999)+Infrastructure*FZ$10</f>
        <v>119205.13748191026</v>
      </c>
      <c r="GA15" s="366">
        <f t="shared" ref="GA15" si="151">SUM(GA19:GA9999)</f>
        <v>11</v>
      </c>
      <c r="GB15" s="300">
        <f>SUM(GB19:GB9999)+Infrastructure*GB$10</f>
        <v>0</v>
      </c>
      <c r="GC15" s="367">
        <f t="shared" ref="GC15" si="152">SUM(GC19:GC9999)</f>
        <v>0</v>
      </c>
      <c r="GD15" s="299">
        <f ca="1">SUM(GD19:GD9999)+Infrastructure*GD$10</f>
        <v>0</v>
      </c>
      <c r="GE15" s="366">
        <f t="shared" ref="GE15" si="153">SUM(GE19:GE9999)</f>
        <v>0</v>
      </c>
      <c r="GF15" s="300">
        <f ca="1">SUM(GF19:GF9999)+Infrastructure*GF$10</f>
        <v>0</v>
      </c>
      <c r="GG15" s="366">
        <f t="shared" ref="GG15" si="154">SUM(GG19:GG9999)</f>
        <v>0</v>
      </c>
      <c r="GH15" s="300">
        <f>SUM(GH19:GH9999)+Infrastructure*GH$10</f>
        <v>0</v>
      </c>
      <c r="GI15" s="366">
        <f t="shared" ref="GI15" si="155">SUM(GI19:GI9999)</f>
        <v>0</v>
      </c>
      <c r="GJ15" s="300">
        <f>SUM(GJ19:GJ9999)+Infrastructure*GJ$10</f>
        <v>0</v>
      </c>
      <c r="GK15" s="367">
        <f t="shared" ref="GK15" si="156">SUM(GK19:GK9999)</f>
        <v>0</v>
      </c>
      <c r="GL15" s="299">
        <f ca="1">SUM(GL19:GL9999)+Infrastructure*GL$10</f>
        <v>0</v>
      </c>
      <c r="GM15" s="366">
        <f t="shared" ref="GM15" si="157">SUM(GM19:GM9999)</f>
        <v>0</v>
      </c>
      <c r="GN15" s="300">
        <f ca="1">SUM(GN19:GN9999)+Infrastructure*GN$10</f>
        <v>0</v>
      </c>
      <c r="GO15" s="366">
        <f t="shared" ref="GO15" si="158">SUM(GO19:GO9999)</f>
        <v>0</v>
      </c>
      <c r="GP15" s="300">
        <f>SUM(GP19:GP9999)+Infrastructure*GP$10</f>
        <v>0</v>
      </c>
      <c r="GQ15" s="366">
        <f t="shared" ref="GQ15" si="159">SUM(GQ19:GQ9999)</f>
        <v>0</v>
      </c>
      <c r="GR15" s="300">
        <f>SUM(GR19:GR9999)+Infrastructure*GR$10</f>
        <v>0</v>
      </c>
      <c r="GS15" s="367">
        <f t="shared" ref="GS15" si="160">SUM(GS19:GS9999)</f>
        <v>0</v>
      </c>
      <c r="GT15" s="299">
        <f ca="1">SUM(GT19:GT9999)+Infrastructure*GT$10</f>
        <v>0</v>
      </c>
      <c r="GU15" s="366">
        <f t="shared" ref="GU15" si="161">SUM(GU19:GU9999)</f>
        <v>0</v>
      </c>
      <c r="GV15" s="300">
        <f ca="1">SUM(GV19:GV9999)+Infrastructure*GV$10</f>
        <v>0</v>
      </c>
      <c r="GW15" s="366">
        <f t="shared" ref="GW15" si="162">SUM(GW19:GW9999)</f>
        <v>0</v>
      </c>
      <c r="GX15" s="300">
        <f>SUM(GX19:GX9999)+Infrastructure*GX$10</f>
        <v>0</v>
      </c>
      <c r="GY15" s="366">
        <f t="shared" ref="GY15" si="163">SUM(GY19:GY9999)</f>
        <v>0</v>
      </c>
      <c r="GZ15" s="300">
        <f>SUM(GZ19:GZ9999)+Infrastructure*GZ$10</f>
        <v>0</v>
      </c>
      <c r="HA15" s="367">
        <f t="shared" ref="HA15" si="164">SUM(HA19:HA9999)</f>
        <v>0</v>
      </c>
      <c r="HB15" s="174" t="s">
        <v>367</v>
      </c>
      <c r="HC15" s="54"/>
      <c r="HD15" s="54"/>
      <c r="HE15" s="54"/>
      <c r="HF15" s="73" t="s">
        <v>367</v>
      </c>
      <c r="HG15" s="418">
        <f t="shared" ref="HG15:HP15" ca="1" si="165">SUM(HG19:HG9999)+Infrastructure*HG$10</f>
        <v>29350888.962494548</v>
      </c>
      <c r="HH15" s="436">
        <f t="shared" ca="1" si="165"/>
        <v>15197612.562801195</v>
      </c>
      <c r="HI15" s="418">
        <f t="shared" ca="1" si="165"/>
        <v>12448710.67039858</v>
      </c>
      <c r="HJ15" s="437">
        <f t="shared" ca="1" si="165"/>
        <v>9058636.2313871216</v>
      </c>
      <c r="HK15" s="419">
        <f t="shared" ca="1" si="165"/>
        <v>5629043.2522814553</v>
      </c>
      <c r="HL15" s="436">
        <f t="shared" ca="1" si="165"/>
        <v>2833713.5874475264</v>
      </c>
      <c r="HM15" s="418">
        <f t="shared" ca="1" si="165"/>
        <v>684166.20573042845</v>
      </c>
      <c r="HN15" s="436">
        <f t="shared" ca="1" si="165"/>
        <v>0</v>
      </c>
      <c r="HO15" s="418">
        <f t="shared" ca="1" si="165"/>
        <v>0</v>
      </c>
      <c r="HP15" s="436">
        <f t="shared" ca="1" si="165"/>
        <v>0</v>
      </c>
      <c r="HQ15" s="174" t="s">
        <v>367</v>
      </c>
    </row>
    <row r="16" spans="1:228" s="70" customFormat="1" ht="15" thickBot="1" x14ac:dyDescent="0.35">
      <c r="A16" s="717"/>
      <c r="E16" s="71"/>
      <c r="F16" s="72"/>
      <c r="I16" s="721"/>
      <c r="J16" s="722"/>
      <c r="K16" s="719" t="s">
        <v>392</v>
      </c>
      <c r="V16" s="743"/>
      <c r="W16" s="744"/>
      <c r="X16" s="744"/>
      <c r="Y16" s="744"/>
      <c r="Z16" s="744"/>
      <c r="AA16" s="744"/>
      <c r="AB16" s="744"/>
      <c r="AC16" s="744"/>
      <c r="AD16" s="744"/>
      <c r="AE16" s="745"/>
      <c r="AG16" s="735" t="s">
        <v>4</v>
      </c>
      <c r="AH16" s="736"/>
      <c r="AI16" s="338">
        <f ca="1">SUM(AI6:AI15)</f>
        <v>474847.65054547577</v>
      </c>
      <c r="AK16" s="339">
        <f>SUM(AK19:AK9999)</f>
        <v>244.39999999999964</v>
      </c>
      <c r="AL16" s="70" t="s">
        <v>296</v>
      </c>
      <c r="AN16" s="339"/>
      <c r="AO16" s="346"/>
      <c r="AP16" s="347"/>
      <c r="AQ16" s="339"/>
      <c r="AR16" s="346"/>
      <c r="AS16" s="347"/>
      <c r="AT16" s="339"/>
      <c r="AU16" s="346"/>
      <c r="AV16" s="347"/>
      <c r="AW16" s="339"/>
      <c r="AX16" s="346"/>
      <c r="AY16" s="347"/>
      <c r="AZ16" s="339"/>
      <c r="BA16" s="346"/>
      <c r="BB16" s="347"/>
      <c r="BC16" s="339"/>
      <c r="BD16" s="346"/>
      <c r="BE16" s="347"/>
      <c r="BF16" s="339"/>
      <c r="BG16" s="346"/>
      <c r="BH16" s="347"/>
      <c r="BI16" s="339"/>
      <c r="BJ16" s="346"/>
      <c r="BK16" s="347"/>
      <c r="BL16" s="339"/>
      <c r="BM16" s="346"/>
      <c r="BN16" s="347"/>
      <c r="BO16" s="339"/>
      <c r="BP16" s="346"/>
      <c r="BQ16" s="347"/>
      <c r="BS16" s="685" t="s">
        <v>109</v>
      </c>
      <c r="BT16" s="686"/>
      <c r="BU16" s="686"/>
      <c r="BV16" s="686"/>
      <c r="BW16" s="687"/>
      <c r="DC16" s="73"/>
      <c r="DD16" s="697" t="s">
        <v>71</v>
      </c>
      <c r="DE16" s="698"/>
      <c r="DF16" s="698"/>
      <c r="DG16" s="698"/>
      <c r="DH16" s="698"/>
      <c r="DI16" s="698"/>
      <c r="DJ16" s="698"/>
      <c r="DK16" s="698"/>
      <c r="DL16" s="698"/>
      <c r="DM16" s="699"/>
      <c r="DN16" s="665" t="s">
        <v>72</v>
      </c>
      <c r="DO16" s="666"/>
      <c r="DP16" s="666"/>
      <c r="DQ16" s="666"/>
      <c r="DR16" s="666"/>
      <c r="DS16" s="666"/>
      <c r="DT16" s="666"/>
      <c r="DU16" s="666"/>
      <c r="DV16" s="666"/>
      <c r="DW16" s="667"/>
      <c r="DY16" s="54"/>
      <c r="DZ16" s="675">
        <f>$L$10</f>
        <v>1.0000000000000001E-5</v>
      </c>
      <c r="EA16" s="673"/>
      <c r="EB16" s="673"/>
      <c r="EC16" s="673"/>
      <c r="ED16" s="673"/>
      <c r="EE16" s="673"/>
      <c r="EF16" s="673"/>
      <c r="EG16" s="674"/>
      <c r="EH16" s="676">
        <f>$M$10</f>
        <v>2E-3</v>
      </c>
      <c r="EI16" s="677"/>
      <c r="EJ16" s="677"/>
      <c r="EK16" s="677"/>
      <c r="EL16" s="677"/>
      <c r="EM16" s="677"/>
      <c r="EN16" s="677"/>
      <c r="EO16" s="678"/>
      <c r="EP16" s="676">
        <f>$N$10</f>
        <v>5.0000000000000001E-3</v>
      </c>
      <c r="EQ16" s="677"/>
      <c r="ER16" s="677"/>
      <c r="ES16" s="677"/>
      <c r="ET16" s="677"/>
      <c r="EU16" s="677"/>
      <c r="EV16" s="677"/>
      <c r="EW16" s="678"/>
      <c r="EX16" s="624">
        <f>$O$10</f>
        <v>0.01</v>
      </c>
      <c r="EY16" s="625"/>
      <c r="EZ16" s="625"/>
      <c r="FA16" s="625"/>
      <c r="FB16" s="625"/>
      <c r="FC16" s="625"/>
      <c r="FD16" s="625"/>
      <c r="FE16" s="626"/>
      <c r="FF16" s="624">
        <f>$P$10</f>
        <v>0.02</v>
      </c>
      <c r="FG16" s="625"/>
      <c r="FH16" s="625"/>
      <c r="FI16" s="625"/>
      <c r="FJ16" s="625"/>
      <c r="FK16" s="625"/>
      <c r="FL16" s="625"/>
      <c r="FM16" s="626"/>
      <c r="FN16" s="624">
        <f>$Q$10</f>
        <v>0.05</v>
      </c>
      <c r="FO16" s="625"/>
      <c r="FP16" s="625"/>
      <c r="FQ16" s="625"/>
      <c r="FR16" s="625"/>
      <c r="FS16" s="625"/>
      <c r="FT16" s="625"/>
      <c r="FU16" s="626"/>
      <c r="FV16" s="624">
        <f>$R$10</f>
        <v>0.1</v>
      </c>
      <c r="FW16" s="625"/>
      <c r="FX16" s="625"/>
      <c r="FY16" s="625"/>
      <c r="FZ16" s="625"/>
      <c r="GA16" s="625"/>
      <c r="GB16" s="625"/>
      <c r="GC16" s="626"/>
      <c r="GD16" s="624">
        <f>$S$10</f>
        <v>0.2</v>
      </c>
      <c r="GE16" s="625"/>
      <c r="GF16" s="625"/>
      <c r="GG16" s="625"/>
      <c r="GH16" s="625"/>
      <c r="GI16" s="625"/>
      <c r="GJ16" s="625"/>
      <c r="GK16" s="626"/>
      <c r="GL16" s="624">
        <f>$T$10</f>
        <v>0.5</v>
      </c>
      <c r="GM16" s="625"/>
      <c r="GN16" s="625"/>
      <c r="GO16" s="625"/>
      <c r="GP16" s="625"/>
      <c r="GQ16" s="625"/>
      <c r="GR16" s="625"/>
      <c r="GS16" s="626"/>
      <c r="GT16" s="624">
        <f>$U$10</f>
        <v>1</v>
      </c>
      <c r="GU16" s="673"/>
      <c r="GV16" s="673"/>
      <c r="GW16" s="673"/>
      <c r="GX16" s="673"/>
      <c r="GY16" s="673"/>
      <c r="GZ16" s="673"/>
      <c r="HA16" s="674"/>
      <c r="HF16" s="439" t="s">
        <v>363</v>
      </c>
      <c r="HG16" s="420" t="str">
        <f>$L$11</f>
        <v>PMF</v>
      </c>
      <c r="HH16" s="421">
        <f>$M$11</f>
        <v>500</v>
      </c>
      <c r="HI16" s="421">
        <f>$N$11</f>
        <v>200</v>
      </c>
      <c r="HJ16" s="421">
        <f>$O$11</f>
        <v>100</v>
      </c>
      <c r="HK16" s="421">
        <f>$P$11</f>
        <v>50</v>
      </c>
      <c r="HL16" s="421">
        <f>$Q$11</f>
        <v>20</v>
      </c>
      <c r="HM16" s="421">
        <f>$R$11</f>
        <v>10</v>
      </c>
      <c r="HN16" s="421">
        <f>$S$11</f>
        <v>5</v>
      </c>
      <c r="HO16" s="421">
        <f>$T$11</f>
        <v>2</v>
      </c>
      <c r="HP16" s="422">
        <f>$U$11</f>
        <v>1</v>
      </c>
      <c r="HQ16" s="439" t="s">
        <v>363</v>
      </c>
      <c r="HR16" s="511"/>
      <c r="HS16" s="511"/>
      <c r="HT16" s="511"/>
    </row>
    <row r="17" spans="1:228" s="70" customFormat="1" ht="15" customHeight="1" thickBot="1" x14ac:dyDescent="0.35">
      <c r="A17" s="453">
        <f>COUNT(A19:A9999)</f>
        <v>119</v>
      </c>
      <c r="C17" s="60"/>
      <c r="E17" s="133"/>
      <c r="F17" s="726" t="s">
        <v>74</v>
      </c>
      <c r="G17" s="727"/>
      <c r="H17" s="205"/>
      <c r="I17" s="721"/>
      <c r="J17" s="722"/>
      <c r="K17" s="720"/>
      <c r="L17" s="731" t="s">
        <v>83</v>
      </c>
      <c r="M17" s="732"/>
      <c r="N17" s="732"/>
      <c r="O17" s="732"/>
      <c r="P17" s="732"/>
      <c r="Q17" s="732"/>
      <c r="R17" s="732"/>
      <c r="S17" s="732"/>
      <c r="T17" s="732"/>
      <c r="U17" s="733"/>
      <c r="V17" s="723" t="s">
        <v>148</v>
      </c>
      <c r="W17" s="724"/>
      <c r="X17" s="724"/>
      <c r="Y17" s="724"/>
      <c r="Z17" s="724"/>
      <c r="AA17" s="724"/>
      <c r="AB17" s="724"/>
      <c r="AC17" s="724"/>
      <c r="AD17" s="724"/>
      <c r="AE17" s="725"/>
      <c r="AG17" s="734" t="s">
        <v>226</v>
      </c>
      <c r="AH17" s="734"/>
      <c r="AI17" s="734"/>
      <c r="AK17" s="700" t="s">
        <v>146</v>
      </c>
      <c r="AL17" s="701"/>
      <c r="AM17" s="702"/>
      <c r="AN17" s="712" t="str">
        <f>$V$18</f>
        <v>PMF</v>
      </c>
      <c r="AO17" s="713"/>
      <c r="AP17" s="714"/>
      <c r="AQ17" s="728">
        <f>$W$18</f>
        <v>2E-3</v>
      </c>
      <c r="AR17" s="729"/>
      <c r="AS17" s="730"/>
      <c r="AT17" s="728">
        <f>$X$18</f>
        <v>5.0000000000000001E-3</v>
      </c>
      <c r="AU17" s="729"/>
      <c r="AV17" s="730"/>
      <c r="AW17" s="679">
        <f>$Y$18</f>
        <v>0.01</v>
      </c>
      <c r="AX17" s="680"/>
      <c r="AY17" s="681"/>
      <c r="AZ17" s="679">
        <f>$Z$18</f>
        <v>0.02</v>
      </c>
      <c r="BA17" s="680"/>
      <c r="BB17" s="681"/>
      <c r="BC17" s="679">
        <f>$AA$18</f>
        <v>0.05</v>
      </c>
      <c r="BD17" s="680"/>
      <c r="BE17" s="681"/>
      <c r="BF17" s="679">
        <f>$AB$18</f>
        <v>0.1</v>
      </c>
      <c r="BG17" s="680"/>
      <c r="BH17" s="681"/>
      <c r="BI17" s="679">
        <f>$AC$18</f>
        <v>0.2</v>
      </c>
      <c r="BJ17" s="680"/>
      <c r="BK17" s="681"/>
      <c r="BL17" s="679">
        <f>$AD$18</f>
        <v>0.5</v>
      </c>
      <c r="BM17" s="680"/>
      <c r="BN17" s="681"/>
      <c r="BO17" s="679">
        <f>$AE$18</f>
        <v>1</v>
      </c>
      <c r="BP17" s="680"/>
      <c r="BQ17" s="681"/>
      <c r="BS17" s="688"/>
      <c r="BT17" s="689"/>
      <c r="BU17" s="689"/>
      <c r="BV17" s="689"/>
      <c r="BW17" s="690"/>
      <c r="BY17" s="657" t="str">
        <f>$DD$16&amp;" - "&amp;$BS$18</f>
        <v>Floor Level - Structural</v>
      </c>
      <c r="BZ17" s="658"/>
      <c r="CA17" s="658"/>
      <c r="CB17" s="658"/>
      <c r="CC17" s="659"/>
      <c r="CE17" s="657" t="str">
        <f>$DD$16&amp;" - "&amp;$BT$18</f>
        <v>Floor Level - Internal</v>
      </c>
      <c r="CF17" s="658"/>
      <c r="CG17" s="658"/>
      <c r="CH17" s="658"/>
      <c r="CI17" s="659"/>
      <c r="CK17" s="682" t="str">
        <f>$DN$16&amp;" - "&amp;$BU$18</f>
        <v>Ground Level - External</v>
      </c>
      <c r="CL17" s="683"/>
      <c r="CM17" s="683"/>
      <c r="CN17" s="683"/>
      <c r="CO17" s="684"/>
      <c r="CQ17" s="709" t="str">
        <f>$BV$18</f>
        <v>Risk to Life</v>
      </c>
      <c r="CR17" s="710"/>
      <c r="CS17" s="710"/>
      <c r="CT17" s="710"/>
      <c r="CU17" s="711"/>
      <c r="CW17" s="691" t="str">
        <f>CW4</f>
        <v>Combined Total</v>
      </c>
      <c r="CX17" s="692"/>
      <c r="CY17" s="692"/>
      <c r="CZ17" s="692"/>
      <c r="DA17" s="693"/>
      <c r="DC17" s="54"/>
      <c r="DD17" s="694" t="str">
        <f>"Depth of Inundation Above "&amp;DD16&amp;" (m) for each AEP Flood"</f>
        <v>Depth of Inundation Above Floor Level (m) for each AEP Flood</v>
      </c>
      <c r="DE17" s="695"/>
      <c r="DF17" s="695"/>
      <c r="DG17" s="695"/>
      <c r="DH17" s="695"/>
      <c r="DI17" s="695"/>
      <c r="DJ17" s="695"/>
      <c r="DK17" s="695"/>
      <c r="DL17" s="695"/>
      <c r="DM17" s="696"/>
      <c r="DN17" s="706" t="str">
        <f>"Depth of Inundation Above "&amp;DN16&amp;" (m) for each AEP Flood"</f>
        <v>Depth of Inundation Above Ground Level (m) for each AEP Flood</v>
      </c>
      <c r="DO17" s="707"/>
      <c r="DP17" s="707"/>
      <c r="DQ17" s="707"/>
      <c r="DR17" s="707"/>
      <c r="DS17" s="707"/>
      <c r="DT17" s="707"/>
      <c r="DU17" s="707"/>
      <c r="DV17" s="707"/>
      <c r="DW17" s="708"/>
      <c r="DY17" s="54"/>
      <c r="DZ17" s="672" t="str">
        <f>$BS$18</f>
        <v>Structural</v>
      </c>
      <c r="EA17" s="633"/>
      <c r="EB17" s="633" t="str">
        <f>$BT$18</f>
        <v>Internal</v>
      </c>
      <c r="EC17" s="633"/>
      <c r="ED17" s="627" t="str">
        <f>$BU$18</f>
        <v>External</v>
      </c>
      <c r="EE17" s="627"/>
      <c r="EF17" s="631" t="str">
        <f>$BV$18</f>
        <v>Risk to Life</v>
      </c>
      <c r="EG17" s="632"/>
      <c r="EH17" s="672" t="str">
        <f t="shared" ref="EH17" si="166">$BS$18</f>
        <v>Structural</v>
      </c>
      <c r="EI17" s="633"/>
      <c r="EJ17" s="633" t="str">
        <f t="shared" ref="EJ17" si="167">$BT$18</f>
        <v>Internal</v>
      </c>
      <c r="EK17" s="633"/>
      <c r="EL17" s="627" t="str">
        <f t="shared" ref="EL17" si="168">$BU$18</f>
        <v>External</v>
      </c>
      <c r="EM17" s="627"/>
      <c r="EN17" s="631" t="str">
        <f t="shared" ref="EN17" si="169">$BV$18</f>
        <v>Risk to Life</v>
      </c>
      <c r="EO17" s="632"/>
      <c r="EP17" s="672" t="str">
        <f t="shared" ref="EP17" si="170">$BS$18</f>
        <v>Structural</v>
      </c>
      <c r="EQ17" s="633"/>
      <c r="ER17" s="633" t="str">
        <f t="shared" ref="ER17" si="171">$BT$18</f>
        <v>Internal</v>
      </c>
      <c r="ES17" s="633"/>
      <c r="ET17" s="627" t="str">
        <f t="shared" ref="ET17" si="172">$BU$18</f>
        <v>External</v>
      </c>
      <c r="EU17" s="627"/>
      <c r="EV17" s="631" t="str">
        <f t="shared" ref="EV17" si="173">$BV$18</f>
        <v>Risk to Life</v>
      </c>
      <c r="EW17" s="632"/>
      <c r="EX17" s="672" t="str">
        <f t="shared" ref="EX17" si="174">$BS$18</f>
        <v>Structural</v>
      </c>
      <c r="EY17" s="633"/>
      <c r="EZ17" s="633" t="str">
        <f t="shared" ref="EZ17" si="175">$BT$18</f>
        <v>Internal</v>
      </c>
      <c r="FA17" s="633"/>
      <c r="FB17" s="627" t="str">
        <f t="shared" ref="FB17" si="176">$BU$18</f>
        <v>External</v>
      </c>
      <c r="FC17" s="627"/>
      <c r="FD17" s="631" t="str">
        <f t="shared" ref="FD17" si="177">$BV$18</f>
        <v>Risk to Life</v>
      </c>
      <c r="FE17" s="632"/>
      <c r="FF17" s="672" t="str">
        <f t="shared" ref="FF17" si="178">$BS$18</f>
        <v>Structural</v>
      </c>
      <c r="FG17" s="633"/>
      <c r="FH17" s="633" t="str">
        <f t="shared" ref="FH17" si="179">$BT$18</f>
        <v>Internal</v>
      </c>
      <c r="FI17" s="633"/>
      <c r="FJ17" s="627" t="str">
        <f t="shared" ref="FJ17" si="180">$BU$18</f>
        <v>External</v>
      </c>
      <c r="FK17" s="627"/>
      <c r="FL17" s="631" t="str">
        <f t="shared" ref="FL17" si="181">$BV$18</f>
        <v>Risk to Life</v>
      </c>
      <c r="FM17" s="632"/>
      <c r="FN17" s="672" t="str">
        <f t="shared" ref="FN17" si="182">$BS$18</f>
        <v>Structural</v>
      </c>
      <c r="FO17" s="633"/>
      <c r="FP17" s="633" t="str">
        <f t="shared" ref="FP17" si="183">$BT$18</f>
        <v>Internal</v>
      </c>
      <c r="FQ17" s="633"/>
      <c r="FR17" s="627" t="str">
        <f t="shared" ref="FR17" si="184">$BU$18</f>
        <v>External</v>
      </c>
      <c r="FS17" s="627"/>
      <c r="FT17" s="631" t="str">
        <f t="shared" ref="FT17" si="185">$BV$18</f>
        <v>Risk to Life</v>
      </c>
      <c r="FU17" s="632"/>
      <c r="FV17" s="672" t="str">
        <f t="shared" ref="FV17" si="186">$BS$18</f>
        <v>Structural</v>
      </c>
      <c r="FW17" s="633"/>
      <c r="FX17" s="633" t="str">
        <f t="shared" ref="FX17" si="187">$BT$18</f>
        <v>Internal</v>
      </c>
      <c r="FY17" s="633"/>
      <c r="FZ17" s="627" t="str">
        <f t="shared" ref="FZ17" si="188">$BU$18</f>
        <v>External</v>
      </c>
      <c r="GA17" s="627"/>
      <c r="GB17" s="631" t="str">
        <f t="shared" ref="GB17" si="189">$BV$18</f>
        <v>Risk to Life</v>
      </c>
      <c r="GC17" s="632"/>
      <c r="GD17" s="672" t="str">
        <f t="shared" ref="GD17" si="190">$BS$18</f>
        <v>Structural</v>
      </c>
      <c r="GE17" s="633"/>
      <c r="GF17" s="633" t="str">
        <f t="shared" ref="GF17" si="191">$BT$18</f>
        <v>Internal</v>
      </c>
      <c r="GG17" s="633"/>
      <c r="GH17" s="627" t="str">
        <f t="shared" ref="GH17" si="192">$BU$18</f>
        <v>External</v>
      </c>
      <c r="GI17" s="627"/>
      <c r="GJ17" s="631" t="str">
        <f t="shared" ref="GJ17" si="193">$BV$18</f>
        <v>Risk to Life</v>
      </c>
      <c r="GK17" s="632"/>
      <c r="GL17" s="672" t="str">
        <f t="shared" ref="GL17" si="194">$BS$18</f>
        <v>Structural</v>
      </c>
      <c r="GM17" s="633"/>
      <c r="GN17" s="633" t="str">
        <f t="shared" ref="GN17" si="195">$BT$18</f>
        <v>Internal</v>
      </c>
      <c r="GO17" s="633"/>
      <c r="GP17" s="627" t="str">
        <f t="shared" ref="GP17" si="196">$BU$18</f>
        <v>External</v>
      </c>
      <c r="GQ17" s="627"/>
      <c r="GR17" s="631" t="str">
        <f t="shared" ref="GR17" si="197">$BV$18</f>
        <v>Risk to Life</v>
      </c>
      <c r="GS17" s="632"/>
      <c r="GT17" s="672" t="str">
        <f t="shared" ref="GT17" si="198">$BS$18</f>
        <v>Structural</v>
      </c>
      <c r="GU17" s="633"/>
      <c r="GV17" s="633" t="str">
        <f t="shared" ref="GV17" si="199">$BT$18</f>
        <v>Internal</v>
      </c>
      <c r="GW17" s="633"/>
      <c r="GX17" s="627" t="str">
        <f t="shared" ref="GX17" si="200">$BU$18</f>
        <v>External</v>
      </c>
      <c r="GY17" s="627"/>
      <c r="GZ17" s="631" t="str">
        <f t="shared" ref="GZ17" si="201">$BV$18</f>
        <v>Risk to Life</v>
      </c>
      <c r="HA17" s="632"/>
      <c r="HG17" s="608" t="s">
        <v>361</v>
      </c>
      <c r="HH17" s="609"/>
      <c r="HI17" s="609"/>
      <c r="HJ17" s="609"/>
      <c r="HK17" s="609"/>
      <c r="HL17" s="609"/>
      <c r="HM17" s="609"/>
      <c r="HN17" s="609"/>
      <c r="HO17" s="609"/>
      <c r="HP17" s="610"/>
      <c r="HR17" s="511"/>
      <c r="HS17" s="511"/>
      <c r="HT17" s="511"/>
    </row>
    <row r="18" spans="1:228" s="59" customFormat="1" ht="29.4" thickBot="1" x14ac:dyDescent="0.35">
      <c r="A18" s="59" t="s">
        <v>68</v>
      </c>
      <c r="B18" s="59" t="s">
        <v>69</v>
      </c>
      <c r="C18" s="59" t="s">
        <v>110</v>
      </c>
      <c r="D18" s="59" t="s">
        <v>151</v>
      </c>
      <c r="E18" s="59" t="s">
        <v>70</v>
      </c>
      <c r="F18" s="263" t="s">
        <v>71</v>
      </c>
      <c r="G18" s="264" t="s">
        <v>72</v>
      </c>
      <c r="H18" s="265" t="s">
        <v>433</v>
      </c>
      <c r="I18" s="265" t="s">
        <v>275</v>
      </c>
      <c r="J18" s="265" t="s">
        <v>432</v>
      </c>
      <c r="K18" s="59" t="s">
        <v>309</v>
      </c>
      <c r="L18" s="162" t="str">
        <f>$L$11</f>
        <v>PMF</v>
      </c>
      <c r="M18" s="163">
        <f>$M$10</f>
        <v>2E-3</v>
      </c>
      <c r="N18" s="163">
        <f>$N$10</f>
        <v>5.0000000000000001E-3</v>
      </c>
      <c r="O18" s="164">
        <f>$O$10</f>
        <v>0.01</v>
      </c>
      <c r="P18" s="164">
        <f>$P$10</f>
        <v>0.02</v>
      </c>
      <c r="Q18" s="164">
        <f>$Q$10</f>
        <v>0.05</v>
      </c>
      <c r="R18" s="164">
        <f>$R$10</f>
        <v>0.1</v>
      </c>
      <c r="S18" s="164">
        <f>$S$10</f>
        <v>0.2</v>
      </c>
      <c r="T18" s="164">
        <f>$T$10</f>
        <v>0.5</v>
      </c>
      <c r="U18" s="165">
        <f>$U$10</f>
        <v>1</v>
      </c>
      <c r="V18" s="162" t="str">
        <f>$L$11</f>
        <v>PMF</v>
      </c>
      <c r="W18" s="163">
        <f>$M$10</f>
        <v>2E-3</v>
      </c>
      <c r="X18" s="163">
        <f>$N$10</f>
        <v>5.0000000000000001E-3</v>
      </c>
      <c r="Y18" s="164">
        <f>$O$10</f>
        <v>0.01</v>
      </c>
      <c r="Z18" s="164">
        <f>$P$10</f>
        <v>0.02</v>
      </c>
      <c r="AA18" s="164">
        <f>$Q$10</f>
        <v>0.05</v>
      </c>
      <c r="AB18" s="164">
        <f>$R$10</f>
        <v>0.1</v>
      </c>
      <c r="AC18" s="164">
        <f>$S$10</f>
        <v>0.2</v>
      </c>
      <c r="AD18" s="164">
        <f>$T$10</f>
        <v>0.5</v>
      </c>
      <c r="AE18" s="165">
        <f>$U$10</f>
        <v>1</v>
      </c>
      <c r="AG18" s="212" t="s">
        <v>201</v>
      </c>
      <c r="AH18" s="213" t="s">
        <v>153</v>
      </c>
      <c r="AI18" s="213" t="s">
        <v>274</v>
      </c>
      <c r="AK18" s="207" t="s">
        <v>141</v>
      </c>
      <c r="AL18" s="209" t="s">
        <v>142</v>
      </c>
      <c r="AM18" s="208" t="s">
        <v>145</v>
      </c>
      <c r="AN18" s="207" t="s">
        <v>147</v>
      </c>
      <c r="AO18" s="209" t="s">
        <v>337</v>
      </c>
      <c r="AP18" s="208" t="s">
        <v>338</v>
      </c>
      <c r="AQ18" s="207" t="s">
        <v>147</v>
      </c>
      <c r="AR18" s="209" t="s">
        <v>337</v>
      </c>
      <c r="AS18" s="208" t="s">
        <v>338</v>
      </c>
      <c r="AT18" s="207" t="s">
        <v>147</v>
      </c>
      <c r="AU18" s="209" t="s">
        <v>337</v>
      </c>
      <c r="AV18" s="208" t="s">
        <v>338</v>
      </c>
      <c r="AW18" s="207" t="s">
        <v>147</v>
      </c>
      <c r="AX18" s="209" t="s">
        <v>337</v>
      </c>
      <c r="AY18" s="208" t="s">
        <v>338</v>
      </c>
      <c r="AZ18" s="207" t="s">
        <v>147</v>
      </c>
      <c r="BA18" s="209" t="s">
        <v>337</v>
      </c>
      <c r="BB18" s="208" t="s">
        <v>338</v>
      </c>
      <c r="BC18" s="207" t="s">
        <v>147</v>
      </c>
      <c r="BD18" s="209" t="s">
        <v>337</v>
      </c>
      <c r="BE18" s="208" t="s">
        <v>338</v>
      </c>
      <c r="BF18" s="207" t="s">
        <v>147</v>
      </c>
      <c r="BG18" s="209" t="s">
        <v>337</v>
      </c>
      <c r="BH18" s="208" t="s">
        <v>338</v>
      </c>
      <c r="BI18" s="207" t="s">
        <v>147</v>
      </c>
      <c r="BJ18" s="209" t="s">
        <v>337</v>
      </c>
      <c r="BK18" s="208" t="s">
        <v>338</v>
      </c>
      <c r="BL18" s="207" t="s">
        <v>147</v>
      </c>
      <c r="BM18" s="209" t="s">
        <v>337</v>
      </c>
      <c r="BN18" s="208" t="s">
        <v>338</v>
      </c>
      <c r="BO18" s="207" t="s">
        <v>147</v>
      </c>
      <c r="BP18" s="209" t="s">
        <v>337</v>
      </c>
      <c r="BQ18" s="208" t="s">
        <v>338</v>
      </c>
      <c r="BS18" s="146" t="s">
        <v>53</v>
      </c>
      <c r="BT18" s="147" t="s">
        <v>116</v>
      </c>
      <c r="BU18" s="148" t="s">
        <v>56</v>
      </c>
      <c r="BV18" s="206" t="s">
        <v>138</v>
      </c>
      <c r="BW18" s="336" t="s">
        <v>108</v>
      </c>
      <c r="BY18" s="75" t="s">
        <v>104</v>
      </c>
      <c r="BZ18" s="76" t="s">
        <v>105</v>
      </c>
      <c r="CA18" s="76" t="s">
        <v>106</v>
      </c>
      <c r="CB18" s="77" t="s">
        <v>93</v>
      </c>
      <c r="CC18" s="77" t="s">
        <v>103</v>
      </c>
      <c r="CE18" s="75" t="s">
        <v>104</v>
      </c>
      <c r="CF18" s="76" t="s">
        <v>105</v>
      </c>
      <c r="CG18" s="76" t="s">
        <v>106</v>
      </c>
      <c r="CH18" s="77" t="s">
        <v>93</v>
      </c>
      <c r="CI18" s="77" t="s">
        <v>103</v>
      </c>
      <c r="CK18" s="75" t="s">
        <v>104</v>
      </c>
      <c r="CL18" s="76" t="s">
        <v>105</v>
      </c>
      <c r="CM18" s="76" t="s">
        <v>106</v>
      </c>
      <c r="CN18" s="77" t="s">
        <v>93</v>
      </c>
      <c r="CO18" s="77" t="s">
        <v>103</v>
      </c>
      <c r="CQ18" s="75" t="s">
        <v>104</v>
      </c>
      <c r="CR18" s="76" t="s">
        <v>105</v>
      </c>
      <c r="CS18" s="76" t="s">
        <v>106</v>
      </c>
      <c r="CT18" s="77" t="s">
        <v>93</v>
      </c>
      <c r="CU18" s="77" t="s">
        <v>103</v>
      </c>
      <c r="CW18" s="75" t="s">
        <v>104</v>
      </c>
      <c r="CX18" s="76" t="s">
        <v>162</v>
      </c>
      <c r="CY18" s="76" t="s">
        <v>161</v>
      </c>
      <c r="CZ18" s="77" t="s">
        <v>93</v>
      </c>
      <c r="DA18" s="77" t="s">
        <v>103</v>
      </c>
      <c r="DC18" s="54"/>
      <c r="DD18" s="166" t="s">
        <v>73</v>
      </c>
      <c r="DE18" s="167">
        <f t="shared" ref="DE18:DM18" si="202">M10</f>
        <v>2E-3</v>
      </c>
      <c r="DF18" s="167">
        <f t="shared" si="202"/>
        <v>5.0000000000000001E-3</v>
      </c>
      <c r="DG18" s="168">
        <f t="shared" si="202"/>
        <v>0.01</v>
      </c>
      <c r="DH18" s="168">
        <f t="shared" si="202"/>
        <v>0.02</v>
      </c>
      <c r="DI18" s="168">
        <f t="shared" si="202"/>
        <v>0.05</v>
      </c>
      <c r="DJ18" s="168">
        <f t="shared" si="202"/>
        <v>0.1</v>
      </c>
      <c r="DK18" s="168">
        <f t="shared" si="202"/>
        <v>0.2</v>
      </c>
      <c r="DL18" s="168">
        <f t="shared" si="202"/>
        <v>0.5</v>
      </c>
      <c r="DM18" s="169">
        <f t="shared" si="202"/>
        <v>1</v>
      </c>
      <c r="DN18" s="170" t="s">
        <v>73</v>
      </c>
      <c r="DO18" s="171">
        <f t="shared" ref="DO18:DW18" si="203">M10</f>
        <v>2E-3</v>
      </c>
      <c r="DP18" s="171">
        <f t="shared" si="203"/>
        <v>5.0000000000000001E-3</v>
      </c>
      <c r="DQ18" s="172">
        <f t="shared" si="203"/>
        <v>0.01</v>
      </c>
      <c r="DR18" s="172">
        <f t="shared" si="203"/>
        <v>0.02</v>
      </c>
      <c r="DS18" s="172">
        <f t="shared" si="203"/>
        <v>0.05</v>
      </c>
      <c r="DT18" s="172">
        <f t="shared" si="203"/>
        <v>0.1</v>
      </c>
      <c r="DU18" s="172">
        <f t="shared" si="203"/>
        <v>0.2</v>
      </c>
      <c r="DV18" s="172">
        <f t="shared" si="203"/>
        <v>0.5</v>
      </c>
      <c r="DW18" s="173">
        <f t="shared" si="203"/>
        <v>1</v>
      </c>
      <c r="DY18" s="54"/>
      <c r="DZ18" s="198" t="s">
        <v>81</v>
      </c>
      <c r="EA18" s="134" t="s">
        <v>82</v>
      </c>
      <c r="EB18" s="134" t="s">
        <v>81</v>
      </c>
      <c r="EC18" s="134" t="s">
        <v>82</v>
      </c>
      <c r="ED18" s="134" t="s">
        <v>81</v>
      </c>
      <c r="EE18" s="134" t="s">
        <v>82</v>
      </c>
      <c r="EF18" s="134" t="s">
        <v>81</v>
      </c>
      <c r="EG18" s="202" t="s">
        <v>82</v>
      </c>
      <c r="EH18" s="198" t="s">
        <v>81</v>
      </c>
      <c r="EI18" s="134" t="s">
        <v>82</v>
      </c>
      <c r="EJ18" s="134" t="s">
        <v>81</v>
      </c>
      <c r="EK18" s="134" t="s">
        <v>82</v>
      </c>
      <c r="EL18" s="134" t="s">
        <v>81</v>
      </c>
      <c r="EM18" s="134" t="s">
        <v>82</v>
      </c>
      <c r="EN18" s="134" t="s">
        <v>81</v>
      </c>
      <c r="EO18" s="202" t="s">
        <v>82</v>
      </c>
      <c r="EP18" s="198" t="s">
        <v>81</v>
      </c>
      <c r="EQ18" s="134" t="s">
        <v>82</v>
      </c>
      <c r="ER18" s="134" t="s">
        <v>81</v>
      </c>
      <c r="ES18" s="134" t="s">
        <v>82</v>
      </c>
      <c r="ET18" s="134" t="s">
        <v>81</v>
      </c>
      <c r="EU18" s="134" t="s">
        <v>82</v>
      </c>
      <c r="EV18" s="134" t="s">
        <v>81</v>
      </c>
      <c r="EW18" s="202" t="s">
        <v>82</v>
      </c>
      <c r="EX18" s="198" t="s">
        <v>81</v>
      </c>
      <c r="EY18" s="134" t="s">
        <v>82</v>
      </c>
      <c r="EZ18" s="134" t="s">
        <v>81</v>
      </c>
      <c r="FA18" s="134" t="s">
        <v>82</v>
      </c>
      <c r="FB18" s="134" t="s">
        <v>81</v>
      </c>
      <c r="FC18" s="134" t="s">
        <v>82</v>
      </c>
      <c r="FD18" s="134" t="s">
        <v>81</v>
      </c>
      <c r="FE18" s="202" t="s">
        <v>82</v>
      </c>
      <c r="FF18" s="198" t="s">
        <v>81</v>
      </c>
      <c r="FG18" s="134" t="s">
        <v>82</v>
      </c>
      <c r="FH18" s="134" t="s">
        <v>81</v>
      </c>
      <c r="FI18" s="134" t="s">
        <v>82</v>
      </c>
      <c r="FJ18" s="134" t="s">
        <v>81</v>
      </c>
      <c r="FK18" s="134" t="s">
        <v>82</v>
      </c>
      <c r="FL18" s="134" t="s">
        <v>81</v>
      </c>
      <c r="FM18" s="202" t="s">
        <v>82</v>
      </c>
      <c r="FN18" s="198" t="s">
        <v>81</v>
      </c>
      <c r="FO18" s="134" t="s">
        <v>82</v>
      </c>
      <c r="FP18" s="134" t="s">
        <v>81</v>
      </c>
      <c r="FQ18" s="134" t="s">
        <v>82</v>
      </c>
      <c r="FR18" s="134" t="s">
        <v>81</v>
      </c>
      <c r="FS18" s="134" t="s">
        <v>82</v>
      </c>
      <c r="FT18" s="134" t="s">
        <v>81</v>
      </c>
      <c r="FU18" s="202" t="s">
        <v>82</v>
      </c>
      <c r="FV18" s="198" t="s">
        <v>81</v>
      </c>
      <c r="FW18" s="134" t="s">
        <v>82</v>
      </c>
      <c r="FX18" s="134" t="s">
        <v>81</v>
      </c>
      <c r="FY18" s="134" t="s">
        <v>82</v>
      </c>
      <c r="FZ18" s="134" t="s">
        <v>81</v>
      </c>
      <c r="GA18" s="134" t="s">
        <v>82</v>
      </c>
      <c r="GB18" s="134" t="s">
        <v>81</v>
      </c>
      <c r="GC18" s="202" t="s">
        <v>82</v>
      </c>
      <c r="GD18" s="198" t="s">
        <v>81</v>
      </c>
      <c r="GE18" s="134" t="s">
        <v>82</v>
      </c>
      <c r="GF18" s="134" t="s">
        <v>81</v>
      </c>
      <c r="GG18" s="134" t="s">
        <v>82</v>
      </c>
      <c r="GH18" s="134" t="s">
        <v>81</v>
      </c>
      <c r="GI18" s="134" t="s">
        <v>82</v>
      </c>
      <c r="GJ18" s="134" t="s">
        <v>81</v>
      </c>
      <c r="GK18" s="202" t="s">
        <v>82</v>
      </c>
      <c r="GL18" s="198" t="s">
        <v>81</v>
      </c>
      <c r="GM18" s="134" t="s">
        <v>82</v>
      </c>
      <c r="GN18" s="134" t="s">
        <v>81</v>
      </c>
      <c r="GO18" s="134" t="s">
        <v>82</v>
      </c>
      <c r="GP18" s="134" t="s">
        <v>81</v>
      </c>
      <c r="GQ18" s="134" t="s">
        <v>82</v>
      </c>
      <c r="GR18" s="134" t="s">
        <v>81</v>
      </c>
      <c r="GS18" s="202" t="s">
        <v>82</v>
      </c>
      <c r="GT18" s="198" t="s">
        <v>81</v>
      </c>
      <c r="GU18" s="134" t="s">
        <v>82</v>
      </c>
      <c r="GV18" s="134" t="s">
        <v>81</v>
      </c>
      <c r="GW18" s="134" t="s">
        <v>82</v>
      </c>
      <c r="GX18" s="134" t="s">
        <v>81</v>
      </c>
      <c r="GY18" s="134" t="s">
        <v>82</v>
      </c>
      <c r="GZ18" s="134" t="s">
        <v>81</v>
      </c>
      <c r="HA18" s="202" t="s">
        <v>82</v>
      </c>
      <c r="HF18" s="438" t="s">
        <v>362</v>
      </c>
      <c r="HG18" s="162" t="str">
        <f>$L$11</f>
        <v>PMF</v>
      </c>
      <c r="HH18" s="163">
        <f>$M$10</f>
        <v>2E-3</v>
      </c>
      <c r="HI18" s="163">
        <f>$N$10</f>
        <v>5.0000000000000001E-3</v>
      </c>
      <c r="HJ18" s="164">
        <f>$O$10</f>
        <v>0.01</v>
      </c>
      <c r="HK18" s="164">
        <f>$P$10</f>
        <v>0.02</v>
      </c>
      <c r="HL18" s="164">
        <f>$Q$10</f>
        <v>0.05</v>
      </c>
      <c r="HM18" s="164">
        <f>$R$10</f>
        <v>0.1</v>
      </c>
      <c r="HN18" s="164">
        <f>$S$10</f>
        <v>0.2</v>
      </c>
      <c r="HO18" s="164">
        <f>$T$10</f>
        <v>0.5</v>
      </c>
      <c r="HP18" s="165">
        <f>$U$10</f>
        <v>1</v>
      </c>
      <c r="HQ18" s="438" t="s">
        <v>362</v>
      </c>
      <c r="HR18" s="505"/>
      <c r="HS18" s="505"/>
      <c r="HT18" s="505"/>
    </row>
    <row r="19" spans="1:228" x14ac:dyDescent="0.3">
      <c r="A19" s="513">
        <v>1</v>
      </c>
      <c r="B19" s="514" t="s">
        <v>209</v>
      </c>
      <c r="C19" s="514" t="s">
        <v>390</v>
      </c>
      <c r="D19" s="514" t="s">
        <v>390</v>
      </c>
      <c r="E19" s="513">
        <v>0</v>
      </c>
      <c r="F19" s="515">
        <v>6.94</v>
      </c>
      <c r="G19" s="515">
        <v>6.66</v>
      </c>
      <c r="H19" s="516">
        <v>1</v>
      </c>
      <c r="I19" s="517">
        <v>1</v>
      </c>
      <c r="J19" s="518" t="s">
        <v>42</v>
      </c>
      <c r="K19" s="513">
        <f t="shared" ref="K19:K50" si="204">IF(H19=$B$12,$P$15,IF(H19=$B$13,$Q$15,_xlfn.XLOOKUP(J19,$K$14:$Q$14,$K$15:$Q$15,$O$15)))</f>
        <v>90</v>
      </c>
      <c r="L19" s="519">
        <v>7.74</v>
      </c>
      <c r="M19" s="519">
        <v>6.6999999999999993</v>
      </c>
      <c r="N19" s="519">
        <v>6.3999999999999995</v>
      </c>
      <c r="O19" s="519">
        <v>6.1</v>
      </c>
      <c r="P19" s="519">
        <v>5.6</v>
      </c>
      <c r="Q19" s="519">
        <v>5.0999999999999996</v>
      </c>
      <c r="R19" s="519">
        <v>4.3</v>
      </c>
      <c r="S19" s="519">
        <v>0</v>
      </c>
      <c r="T19" s="519">
        <v>0</v>
      </c>
      <c r="U19" s="519">
        <v>0</v>
      </c>
      <c r="V19" s="520"/>
      <c r="W19" s="521"/>
      <c r="X19" s="521"/>
      <c r="Y19" s="521"/>
      <c r="Z19" s="521"/>
      <c r="AA19" s="521"/>
      <c r="AB19" s="521"/>
      <c r="AC19" s="521"/>
      <c r="AD19" s="521"/>
      <c r="AE19" s="521"/>
      <c r="AF19" s="54"/>
      <c r="AG19" s="204" t="str">
        <f>IF(AND($H19&lt;=4),"Res","Com")&amp;IF($H19=3,1,IF($H19=4,2,IF($H19&gt;4,1,IF($E19&lt;=1,1,2))))</f>
        <v>Res1</v>
      </c>
      <c r="AH19" s="204">
        <f>IF(LEFT($AG19,3)="Res",_xlfn.XLOOKUP($J19,$L$14:$N$14,$L$13:$N$13,$O$13,1,-1),$H19-3)</f>
        <v>4</v>
      </c>
      <c r="AI19" s="204">
        <f t="shared" ref="AI19:AI50" si="205">IF(OR(H19=$B$12,H19=$B$13),I19,1)</f>
        <v>1</v>
      </c>
      <c r="AJ19" s="54"/>
      <c r="AK19" s="74">
        <f>IFERROR(IF(H19&gt;4,0,AI19*Inputs!$C$55),0)</f>
        <v>2.6</v>
      </c>
      <c r="AL19" s="81">
        <f>IFERROR(Inputs!$C$73,0)</f>
        <v>5</v>
      </c>
      <c r="AM19" s="211">
        <f>IFERROR(Inputs!$C$74,0)</f>
        <v>0.24299999999999999</v>
      </c>
      <c r="AN19" s="446">
        <f>IFERROR(HLOOKUP(HLOOKUP(AN$17,$V$18:$AE19,COUNTA($AK$18:$AK19),FALSE),Inputs!$B$58:$H$59,2,FALSE),0)</f>
        <v>0</v>
      </c>
      <c r="AO19" s="447">
        <f>2*$AK19*AN19*$AL19/100*$AM19</f>
        <v>0</v>
      </c>
      <c r="AP19" s="447">
        <f>2*AO19*AN19/100</f>
        <v>0</v>
      </c>
      <c r="AQ19" s="446">
        <f>IFERROR(HLOOKUP(HLOOKUP(AQ$17,$V$18:$AE19,COUNTA($AK$18:$AK19),FALSE),Inputs!$B$58:$H$59,2,FALSE),0)</f>
        <v>0</v>
      </c>
      <c r="AR19" s="447">
        <f t="shared" ref="AR19" si="206">2*$AK19*AQ19*$AL19/100*$AM19</f>
        <v>0</v>
      </c>
      <c r="AS19" s="447">
        <f t="shared" ref="AS19" si="207">2*AR19*AQ19/100</f>
        <v>0</v>
      </c>
      <c r="AT19" s="446">
        <f>IFERROR(HLOOKUP(HLOOKUP(AT$17,$V$18:$AE19,COUNTA($AK$18:$AK19),FALSE),Inputs!$B$58:$H$59,2,FALSE),0)</f>
        <v>0</v>
      </c>
      <c r="AU19" s="447">
        <f t="shared" ref="AU19" si="208">2*$AK19*AT19*$AL19/100*$AM19</f>
        <v>0</v>
      </c>
      <c r="AV19" s="447">
        <f t="shared" ref="AV19" si="209">2*AU19*AT19/100</f>
        <v>0</v>
      </c>
      <c r="AW19" s="446">
        <f>IFERROR(HLOOKUP(HLOOKUP(AW$17,$V$18:$AE19,COUNTA($AK$18:$AK19),FALSE),Inputs!$B$58:$H$59,2,FALSE),0)</f>
        <v>0</v>
      </c>
      <c r="AX19" s="447">
        <f t="shared" ref="AX19" si="210">2*$AK19*AW19*$AL19/100*$AM19</f>
        <v>0</v>
      </c>
      <c r="AY19" s="447">
        <f t="shared" ref="AY19" si="211">2*AX19*AW19/100</f>
        <v>0</v>
      </c>
      <c r="AZ19" s="446">
        <f>IFERROR(HLOOKUP(HLOOKUP(AZ$17,$V$18:$AE19,COUNTA($AK$18:$AK19),FALSE),Inputs!$B$58:$H$59,2,FALSE),0)</f>
        <v>0</v>
      </c>
      <c r="BA19" s="447">
        <f t="shared" ref="BA19" si="212">2*$AK19*AZ19*$AL19/100*$AM19</f>
        <v>0</v>
      </c>
      <c r="BB19" s="447">
        <f t="shared" ref="BB19" si="213">2*BA19*AZ19/100</f>
        <v>0</v>
      </c>
      <c r="BC19" s="446">
        <f>IFERROR(HLOOKUP(HLOOKUP(BC$17,$V$18:$AE19,COUNTA($AK$18:$AK19),FALSE),Inputs!$B$58:$H$59,2,FALSE),0)</f>
        <v>0</v>
      </c>
      <c r="BD19" s="447">
        <f t="shared" ref="BD19" si="214">2*$AK19*BC19*$AL19/100*$AM19</f>
        <v>0</v>
      </c>
      <c r="BE19" s="447">
        <f t="shared" ref="BE19" si="215">2*BD19*BC19/100</f>
        <v>0</v>
      </c>
      <c r="BF19" s="446">
        <f>IFERROR(HLOOKUP(HLOOKUP(BF$17,$V$18:$AE19,COUNTA($AK$18:$AK19),FALSE),Inputs!$B$58:$H$59,2,FALSE),0)</f>
        <v>0</v>
      </c>
      <c r="BG19" s="447">
        <f t="shared" ref="BG19" si="216">2*$AK19*BF19*$AL19/100*$AM19</f>
        <v>0</v>
      </c>
      <c r="BH19" s="447">
        <f t="shared" ref="BH19" si="217">2*BG19*BF19/100</f>
        <v>0</v>
      </c>
      <c r="BI19" s="446">
        <f>IFERROR(HLOOKUP(HLOOKUP(BI$17,$V$18:$AE19,COUNTA($AK$18:$AK19),FALSE),Inputs!$B$58:$H$59,2,FALSE),0)</f>
        <v>0</v>
      </c>
      <c r="BJ19" s="447">
        <f t="shared" ref="BJ19" si="218">2*$AK19*BI19*$AL19/100*$AM19</f>
        <v>0</v>
      </c>
      <c r="BK19" s="447">
        <f t="shared" ref="BK19" si="219">2*BJ19*BI19/100</f>
        <v>0</v>
      </c>
      <c r="BL19" s="446">
        <f>IFERROR(HLOOKUP(HLOOKUP(BL$17,$V$18:$AE19,COUNTA($AK$18:$AK19),FALSE),Inputs!$B$58:$H$59,2,FALSE),0)</f>
        <v>0</v>
      </c>
      <c r="BM19" s="447">
        <f t="shared" ref="BM19" si="220">2*$AK19*BL19*$AL19/100*$AM19</f>
        <v>0</v>
      </c>
      <c r="BN19" s="447">
        <f t="shared" ref="BN19" si="221">2*BM19*BL19/100</f>
        <v>0</v>
      </c>
      <c r="BO19" s="446">
        <f>IFERROR(HLOOKUP(HLOOKUP(BO$17,$V$18:$AE19,COUNTA($AK$18:$AK19),FALSE),Inputs!$B$58:$H$59,2,FALSE),0)</f>
        <v>0</v>
      </c>
      <c r="BP19" s="447">
        <f t="shared" ref="BP19" si="222">2*$AK19*BO19*$AL19/100*$AM19</f>
        <v>0</v>
      </c>
      <c r="BQ19" s="447">
        <f t="shared" ref="BQ19" si="223">2*BP19*BO19/100</f>
        <v>0</v>
      </c>
      <c r="BR19" s="54"/>
      <c r="BS19" s="103">
        <f t="shared" ref="BS19:BS50" ca="1" si="224">+($U$10-$T$10)*(($GT19)+($GL19))/2+($T$10-$S$10)*(($GL19)+($GD19))/2+($S$10-$R$10)*(($GD19)+($FV19))/2+($R$10-$Q$10)*(($FV19)+($FN19))/2+($Q$10-$P$10)*(($FN19)+($FF19))/2+($P$10-$O$10)*(($FF19)+($EX19))/2+($O$10-$N$10)*(($EX19)+($EP19))/2+($N$10-$M$10)*(($EP19)+($EH19))/2+($M$10-$L$10)*(($EH19)+($DZ19))/2</f>
        <v>44.121865842076701</v>
      </c>
      <c r="BT19" s="103">
        <f ca="1">+($U$10-$T$10)*(($GV19)+($GN19))/2+($T$10-$S$10)*(($GN19)+($GF19))/2+($S$10-$R$10)*(($GF19)+($FX19))/2+($R$10-$Q$10)*(($FX19)+($FP19))/2+($Q$10-$P$10)*(($FP19)+($FH19))/2+($P$10-$O$10)*(($FH19)+($EZ19))/2+($O$10-$N$10)*(($EZ19)+($ER19))/2+($N$10-$M$10)*(($ER19)+($EJ19))/2+($M$10-$L$10)*(($EJ19)+($EB19))/2</f>
        <v>42.630293814163572</v>
      </c>
      <c r="BU19" s="103">
        <f>+($U$10-$T$10)*(($GX19)+($GP19))/2+($T$10-$S$10)*(($GP19)+($GH19))/2+($S$10-$R$10)*(($GH19)+($FZ19))/2+($R$10-$Q$10)*(($FZ19)+($FR19))/2+($Q$10-$P$10)*(($FR19)+($FJ19))/2+($P$10-$O$10)*(($FJ19)+($FB19))/2+($O$10-$N$10)*(($FB19)+($ET19))/2+($N$10-$M$10)*(($ET19)+($EL19))/2+($M$10-$L$10)*(($EL19)+($ED19))/2</f>
        <v>15.403780752532562</v>
      </c>
      <c r="BV19" s="103">
        <f>+($U$10-$T$10)*(($GZ19)+($GR19))/2+($T$10-$S$10)*(($GR19)+($GJ19))/2+($S$10-$R$10)*(($GJ19)+($GB19))/2+($R$10-$Q$10)*(($GB19)+($FT19))/2+($Q$10-$P$10)*(($FT19)+($FL19))/2+($P$10-$O$10)*(($FL19)+($FD19))/2+($O$10-$N$10)*(($FD19)+($EV19))/2+($N$10-$M$10)*(($EV19)+($EN19))/2+($M$10-$L$10)*(($EN19)+($EF19))/2</f>
        <v>0</v>
      </c>
      <c r="BW19" s="152">
        <f ca="1">SUM(BS19,BT19,BU19,BV19)</f>
        <v>102.15594040877284</v>
      </c>
      <c r="BX19" s="441"/>
      <c r="BY19" s="91" t="s">
        <v>73</v>
      </c>
      <c r="BZ19" s="355">
        <f t="shared" ref="BZ19" si="225">SUM(BZ20:BZ21)</f>
        <v>119</v>
      </c>
      <c r="CA19" s="92">
        <f t="shared" ref="CA19" si="226">MAX(CA20:CA21)</f>
        <v>4.8999999999999995</v>
      </c>
      <c r="CB19" s="93">
        <f ca="1">$DZ$15</f>
        <v>18472151.351965293</v>
      </c>
      <c r="CC19" s="93">
        <f ca="1">$DZ$14</f>
        <v>155228.16262155707</v>
      </c>
      <c r="CD19" s="54"/>
      <c r="CE19" s="91" t="s">
        <v>73</v>
      </c>
      <c r="CF19" s="355">
        <f t="shared" ref="CF19" si="227">SUM(CF20:CF21)</f>
        <v>119</v>
      </c>
      <c r="CG19" s="92">
        <f t="shared" ref="CG19" si="228">MAX(CG20:CG21)</f>
        <v>4.8999999999999995</v>
      </c>
      <c r="CH19" s="93">
        <f ca="1">$EB$15</f>
        <v>9277982.9072007574</v>
      </c>
      <c r="CI19" s="93">
        <f ca="1">$EB$14</f>
        <v>77966.242917653421</v>
      </c>
      <c r="CJ19" s="54"/>
      <c r="CK19" s="91" t="s">
        <v>73</v>
      </c>
      <c r="CL19" s="355">
        <f t="shared" ref="CL19" si="229">SUM(CL20:CL21)</f>
        <v>119</v>
      </c>
      <c r="CM19" s="92">
        <f t="shared" ref="CM19" si="230">MAX(CM20:CM21)</f>
        <v>5.3933333333333069</v>
      </c>
      <c r="CN19" s="93">
        <f>$ED$15</f>
        <v>1600754.7033285093</v>
      </c>
      <c r="CO19" s="93">
        <f>$ED$14</f>
        <v>13451.720196037893</v>
      </c>
      <c r="CP19" s="54"/>
      <c r="CQ19" s="91" t="s">
        <v>73</v>
      </c>
      <c r="CR19" s="355">
        <f t="shared" ref="CR19" si="231">SUM(CR20:CR21)</f>
        <v>119</v>
      </c>
      <c r="CS19" s="92">
        <f t="shared" ref="CS19" si="232">MAX(CS20:CS21)</f>
        <v>4.8999999999999995</v>
      </c>
      <c r="CT19" s="93">
        <f>$EF$15</f>
        <v>0</v>
      </c>
      <c r="CU19" s="93" t="str">
        <f>$EF$14</f>
        <v>--</v>
      </c>
      <c r="CV19" s="54"/>
      <c r="CW19" s="91" t="s">
        <v>73</v>
      </c>
      <c r="CX19" s="355">
        <f t="shared" ref="CX19" si="233">SUM(CX20:CX21)</f>
        <v>119</v>
      </c>
      <c r="CY19" s="92">
        <f t="shared" ref="CY19" si="234">MAX(CY20:CY21)</f>
        <v>4.8999999999999995</v>
      </c>
      <c r="CZ19" s="93">
        <f ca="1">SUM(DetailedStructural[[#This Row],[Total Damages]],DetailedInternal[[#This Row],[Total Damages]],DetailedExternal[[#This Row],[Total Damages]],DetailedRiskToLife[[#This Row],[Total Damages]])</f>
        <v>29350888.96249456</v>
      </c>
      <c r="DA19" s="93">
        <f ca="1">SUM(DetailedStructural[[#This Row],[AAD per Property]],DetailedInternal[[#This Row],[AAD per Property]],DetailedExternal[[#This Row],[AAD per Property]],DetailedRiskToLife[[#This Row],[AAD per Property]])</f>
        <v>246646.12573524838</v>
      </c>
      <c r="DB19" s="54"/>
      <c r="DC19" s="54"/>
      <c r="DD19" s="188">
        <f t="shared" ref="DD19:DM19" si="235">IF(L19-$F19&lt;-0.3,-0.3,L19-$F19)</f>
        <v>0.79999999999999982</v>
      </c>
      <c r="DE19" s="188">
        <f>IF(M19-$F19&lt;-0.3,-0.3,M19-$F19)</f>
        <v>-0.2400000000000011</v>
      </c>
      <c r="DF19" s="188">
        <f t="shared" si="235"/>
        <v>-0.3</v>
      </c>
      <c r="DG19" s="188">
        <f t="shared" si="235"/>
        <v>-0.3</v>
      </c>
      <c r="DH19" s="188">
        <f t="shared" si="235"/>
        <v>-0.3</v>
      </c>
      <c r="DI19" s="188">
        <f t="shared" si="235"/>
        <v>-0.3</v>
      </c>
      <c r="DJ19" s="188">
        <f t="shared" si="235"/>
        <v>-0.3</v>
      </c>
      <c r="DK19" s="188">
        <f t="shared" si="235"/>
        <v>-0.3</v>
      </c>
      <c r="DL19" s="188">
        <f t="shared" si="235"/>
        <v>-0.3</v>
      </c>
      <c r="DM19" s="188">
        <f t="shared" si="235"/>
        <v>-0.3</v>
      </c>
      <c r="DN19" s="189">
        <f>IF(L19-$G19&lt;0,0,L19-$G19)</f>
        <v>1.08</v>
      </c>
      <c r="DO19" s="189">
        <f t="shared" ref="DO19:DW19" si="236">IF(M19-$G19&lt;0,0,M19-$G19)</f>
        <v>3.9999999999999147E-2</v>
      </c>
      <c r="DP19" s="189">
        <f t="shared" si="236"/>
        <v>0</v>
      </c>
      <c r="DQ19" s="189">
        <f t="shared" si="236"/>
        <v>0</v>
      </c>
      <c r="DR19" s="189">
        <f t="shared" si="236"/>
        <v>0</v>
      </c>
      <c r="DS19" s="189">
        <f t="shared" si="236"/>
        <v>0</v>
      </c>
      <c r="DT19" s="189">
        <f t="shared" si="236"/>
        <v>0</v>
      </c>
      <c r="DU19" s="189">
        <f t="shared" si="236"/>
        <v>0</v>
      </c>
      <c r="DV19" s="189">
        <f t="shared" si="236"/>
        <v>0</v>
      </c>
      <c r="DW19" s="189">
        <f t="shared" si="236"/>
        <v>0</v>
      </c>
      <c r="DX19" s="54"/>
      <c r="DY19" s="54"/>
      <c r="DZ19" s="199">
        <f t="shared" ref="DZ19:DZ50" ca="1" si="237">$AI19*Uplift*VLOOKUP(MIN(_xlfn.NUMBERVALUE(MROUND($DD19,SIGN($DD19)*0.05)),MAX(INDEX(INDIRECT($AG19&amp;LEFT(DZ$17)),,1))),INDIRECT($AG19&amp;LEFT(DZ$17)),$AH19,FALSE)*IF(LEFT($AG19,3)="Com",$K19,IF(OR($H19=$B$12,$H19=$B$13),1-Downscale,1))</f>
        <v>43169.289073806081</v>
      </c>
      <c r="EA19" s="200">
        <f>IF($F19&lt;0,,IF($L19&gt;$F19,1,))</f>
        <v>1</v>
      </c>
      <c r="EB19" s="201">
        <f t="shared" ref="EB19:EB50" ca="1" si="238">$AI19*Uplift*VLOOKUP(MIN(_xlfn.NUMBERVALUE(MROUND($DD19,SIGN($DD19)*0.05)),MAX(INDEX(INDIRECT($AG19&amp;LEFT(EB$17)),,1))),INDIRECT($AG19&amp;LEFT(EB$17)),$AH19,FALSE)</f>
        <v>42844.516396144296</v>
      </c>
      <c r="EC19" s="200">
        <f>IF($F19&lt;0,,IF($L19&gt;$F19,1,))</f>
        <v>1</v>
      </c>
      <c r="ED19" s="201" cm="1">
        <f t="array" ref="ED19">IF(LEFT($AG19,3)="Res",IF(OR($DN19&gt;External_Threshold,$DD19&gt;0),1*Uplift*AWE*(External),0),0)</f>
        <v>15481.186685962373</v>
      </c>
      <c r="EE19" s="200">
        <f>IF($G19&lt;0,,IF($L19&gt;$G19,1,))</f>
        <v>1</v>
      </c>
      <c r="EF19" s="201">
        <f t="shared" ref="EF19:EF50" si="239">$AI19*Uplift*($AO19*Injury+$AP19*Fatality)*EA19</f>
        <v>0</v>
      </c>
      <c r="EG19" s="203">
        <f>IF(OR($AO19&gt;0,$AP19&gt;0),1,0)</f>
        <v>0</v>
      </c>
      <c r="EH19" s="199">
        <f t="shared" ref="EH19:EH50" ca="1" si="240">$AI19*Uplift*VLOOKUP(MIN(_xlfn.NUMBERVALUE(MROUND($DE19,SIGN($DE19)*0.05)),MAX(INDEX(INDIRECT($AG19&amp;LEFT(EH$17)),,1))),INDIRECT($AG19&amp;LEFT(EH$17)),$AH19,FALSE)*IF(LEFT($AG19,3)="Com",$K19,IF(OR($H19=$B$12,$H19=$B$13),1-Downscale,1))</f>
        <v>468.30589725036168</v>
      </c>
      <c r="EI19" s="200">
        <f t="shared" ref="EI19:EI82" si="241">IF($F19&lt;0,,IF($M19&gt;$F19,1,))</f>
        <v>0</v>
      </c>
      <c r="EJ19" s="201">
        <f t="shared" ref="EJ19:EJ50" ca="1" si="242">$AI19*Uplift*VLOOKUP(MIN(_xlfn.NUMBERVALUE(MROUND($DE19,SIGN($DE19)*0.05)),MAX(INDEX(INDIRECT($AG19&amp;LEFT(EJ$17)),,1))),INDIRECT($AG19&amp;LEFT(EJ$17)),$AH19,FALSE)</f>
        <v>0</v>
      </c>
      <c r="EK19" s="200">
        <f t="shared" ref="EK19:EK82" si="243">IF($F19&lt;0,,IF($M19&gt;$F19,1,))</f>
        <v>0</v>
      </c>
      <c r="EL19" s="201" cm="1">
        <f t="array" ref="EL19">IF(LEFT($AG19,3)="Res",IF(OR($DO19&gt;External_Threshold,$DE19&gt;0),1*Uplift*AWE*(External),0),0)</f>
        <v>0</v>
      </c>
      <c r="EM19" s="200">
        <f t="shared" ref="EM19:EM82" si="244">IF($G19&lt;0,,IF($M19&gt;$G19,1,))</f>
        <v>1</v>
      </c>
      <c r="EN19" s="201">
        <f t="shared" ref="EN19:EN50" si="245">$AI19*Uplift*($AR19*Injury+$AS19*Fatality)*EI19</f>
        <v>0</v>
      </c>
      <c r="EO19" s="203">
        <f>IF(OR($AR19&gt;0,$AS19&gt;0),1,0)</f>
        <v>0</v>
      </c>
      <c r="EP19" s="199">
        <f t="shared" ref="EP19:EP50" ca="1" si="246">$AI19*Uplift*VLOOKUP(MIN(_xlfn.NUMBERVALUE(MROUND($DF19,SIGN($DF19)*0.05)),MAX(INDEX(INDIRECT($AG19&amp;LEFT(EP$17)),,1))),INDIRECT($AG19&amp;LEFT(EP$17)),$AH19,FALSE)*IF(LEFT($AG19,3)="Com",$K19,IF(OR($H19=$B$12,$H19=$B$13),1-Downscale,1))</f>
        <v>0</v>
      </c>
      <c r="EQ19" s="200">
        <f t="shared" ref="EQ19:EQ82" si="247">IF($F19&lt;0,,IF($N19&gt;$F19,1,))</f>
        <v>0</v>
      </c>
      <c r="ER19" s="201">
        <f t="shared" ref="ER19:ER50" ca="1" si="248">$AI19*Uplift*VLOOKUP(MIN(_xlfn.NUMBERVALUE(MROUND($DF19,SIGN($DF19)*0.05)),MAX(INDEX(INDIRECT($AG19&amp;LEFT(ER$17)),,1))),INDIRECT($AG19&amp;LEFT(ER$17)),$AH19,FALSE)</f>
        <v>0</v>
      </c>
      <c r="ES19" s="200">
        <f t="shared" ref="ES19:ES82" si="249">IF($F19&lt;0,,IF($N19&gt;$F19,1,))</f>
        <v>0</v>
      </c>
      <c r="ET19" s="201" cm="1">
        <f t="array" ref="ET19">IF(LEFT($AG19,3)="Res",IF(OR($DP19&gt;External_Threshold,$DF19&gt;0),1*Uplift*AWE*(External),0),0)</f>
        <v>0</v>
      </c>
      <c r="EU19" s="200">
        <f t="shared" ref="EU19:EU82" si="250">IF($G19&lt;0,,IF($N19&gt;$G19,1,))</f>
        <v>0</v>
      </c>
      <c r="EV19" s="201">
        <f t="shared" ref="EV19:EV50" si="251">$AI19*Uplift*($AU19*Injury+$AV19*Fatality)*EQ19</f>
        <v>0</v>
      </c>
      <c r="EW19" s="203">
        <f>IF(OR($AU19&gt;0,$AV19&gt;0),1,0)</f>
        <v>0</v>
      </c>
      <c r="EX19" s="199">
        <f t="shared" ref="EX19:EX50" ca="1" si="252">$AI19*Uplift*VLOOKUP(MIN(_xlfn.NUMBERVALUE(MROUND($DG19,SIGN($DG19)*0.05)),MAX(INDEX(INDIRECT($AG19&amp;LEFT(EX$17)),,1))),INDIRECT($AG19&amp;LEFT(EX$17)),$AH19,FALSE)*IF(LEFT($AG19,3)="Com",$K19,IF(OR($H19=$B$12,$H19=$B$13),1-Downscale,1))</f>
        <v>0</v>
      </c>
      <c r="EY19" s="200">
        <f t="shared" ref="EY19:EY82" si="253">IF($F19&lt;0,,IF($O19&gt;$F19,1,))</f>
        <v>0</v>
      </c>
      <c r="EZ19" s="201">
        <f t="shared" ref="EZ19:EZ50" ca="1" si="254">$AI19*Uplift*VLOOKUP(MIN(_xlfn.NUMBERVALUE(MROUND($DG19,SIGN($DG19)*0.05)),MAX(INDEX(INDIRECT($AG19&amp;LEFT(EZ$17)),,1))),INDIRECT($AG19&amp;LEFT(EZ$17)),$AH19,FALSE)</f>
        <v>0</v>
      </c>
      <c r="FA19" s="200">
        <f t="shared" ref="FA19:FA82" si="255">IF($F19&lt;0,,IF($O19&gt;$F19,1,))</f>
        <v>0</v>
      </c>
      <c r="FB19" s="201" cm="1">
        <f t="array" ref="FB19">IF(LEFT($AG19,3)="Res",IF(OR($DQ19&gt;External_Threshold,$DG19&gt;0),1*Uplift*AWE*(External),0),0)</f>
        <v>0</v>
      </c>
      <c r="FC19" s="200">
        <f t="shared" ref="FC19:FC82" si="256">IF($G19&lt;0,,IF($O19&gt;$G19,1,))</f>
        <v>0</v>
      </c>
      <c r="FD19" s="201">
        <f t="shared" ref="FD19:FD82" si="257">$AI19*Uplift*($AX19*Injury+$AY19*Fatality)*EY19</f>
        <v>0</v>
      </c>
      <c r="FE19" s="203">
        <f>IF(OR($AX19&gt;0,$AY19&gt;0),1,0)</f>
        <v>0</v>
      </c>
      <c r="FF19" s="199">
        <f t="shared" ref="FF19:FF50" ca="1" si="258">$AI19*Uplift*VLOOKUP(MIN(_xlfn.NUMBERVALUE(MROUND($DH19,SIGN($DH19)*0.05)),MAX(INDEX(INDIRECT($AG19&amp;LEFT(FF$17)),,1))),INDIRECT($AG19&amp;LEFT(FF$17)),$AH19,FALSE)*IF(LEFT($AG19,3)="Com",$K19,IF(OR($H19=$B$12,$H19=$B$13),1-Downscale,1))</f>
        <v>0</v>
      </c>
      <c r="FG19" s="200">
        <f t="shared" ref="FG19:FG82" si="259">IF($F19&lt;0,,IF($P19&gt;$F19,1,))</f>
        <v>0</v>
      </c>
      <c r="FH19" s="201">
        <f t="shared" ref="FH19:FH50" ca="1" si="260">$AI19*Uplift*VLOOKUP(MIN(_xlfn.NUMBERVALUE(MROUND($DH19,SIGN($DH19)*0.05)),MAX(INDEX(INDIRECT($AG19&amp;LEFT(FH$17)),,1))),INDIRECT($AG19&amp;LEFT(FH$17)),$AH19,FALSE)</f>
        <v>0</v>
      </c>
      <c r="FI19" s="200">
        <f t="shared" ref="FI19:FI82" si="261">IF($F19&lt;0,,IF($P19&gt;$F19,1,))</f>
        <v>0</v>
      </c>
      <c r="FJ19" s="201" cm="1">
        <f t="array" ref="FJ19">IF(LEFT($AG19,3)="Res",IF(OR($DR19&gt;External_Threshold,$DH19&gt;0),1*Uplift*AWE*(External),0),0)</f>
        <v>0</v>
      </c>
      <c r="FK19" s="200">
        <f t="shared" ref="FK19:FK82" si="262">IF($G19&lt;0,,IF($P19&gt;$G19,1,))</f>
        <v>0</v>
      </c>
      <c r="FL19" s="201">
        <f t="shared" ref="FL19:FL50" si="263">$AI19*Uplift*($BA19*Injury+$BB19*Fatality)*FG19</f>
        <v>0</v>
      </c>
      <c r="FM19" s="203">
        <f>IF(OR($BA19&gt;0,$BB19&gt;0),1,0)</f>
        <v>0</v>
      </c>
      <c r="FN19" s="199">
        <f t="shared" ref="FN19:FN50" ca="1" si="264">$AI19*Uplift*VLOOKUP(MIN(_xlfn.NUMBERVALUE(MROUND($DI19,SIGN($DI19)*0.05)),MAX(INDEX(INDIRECT($AG19&amp;LEFT(FN$17)),,1))),INDIRECT($AG19&amp;LEFT(FN$17)),$AH19,FALSE)*IF(LEFT($AG19,3)="Com",$K19,IF(OR($H19=$B$12,$H19=$B$13),1-Downscale,1))</f>
        <v>0</v>
      </c>
      <c r="FO19" s="200">
        <f t="shared" ref="FO19:FO82" si="265">IF($F19&lt;0,,IF($Q19&gt;$F19,1,))</f>
        <v>0</v>
      </c>
      <c r="FP19" s="201">
        <f t="shared" ref="FP19:FP50" ca="1" si="266">$AI19*Uplift*VLOOKUP(MIN(_xlfn.NUMBERVALUE(MROUND($DI19,SIGN($DI19)*0.05)),MAX(INDEX(INDIRECT($AG19&amp;LEFT(FP$17)),,1))),INDIRECT($AG19&amp;LEFT(FP$17)),$AH19,FALSE)</f>
        <v>0</v>
      </c>
      <c r="FQ19" s="200">
        <f t="shared" ref="FQ19:FQ82" si="267">IF($F19&lt;0,,IF($Q19&gt;$F19,1,))</f>
        <v>0</v>
      </c>
      <c r="FR19" s="201" cm="1">
        <f t="array" ref="FR19">IF(LEFT($AG19,3)="Res",IF(OR($DS19&gt;External_Threshold,$DI19&gt;0),1*Uplift*AWE*(External),0),0)</f>
        <v>0</v>
      </c>
      <c r="FS19" s="200">
        <f t="shared" ref="FS19:FS82" si="268">IF($G19&lt;0,,IF($Q19&gt;$G19,1,))</f>
        <v>0</v>
      </c>
      <c r="FT19" s="201">
        <f t="shared" ref="FT19:FT50" si="269">$AI19*Uplift*($BD19*Injury+$BE19*Fatality)*FO19</f>
        <v>0</v>
      </c>
      <c r="FU19" s="203">
        <f>IF(OR($BD19&gt;0,$BE19&gt;0),1,0)</f>
        <v>0</v>
      </c>
      <c r="FV19" s="199">
        <f t="shared" ref="FV19:FV50" ca="1" si="270">$AI19*Uplift*VLOOKUP(MIN(_xlfn.NUMBERVALUE(MROUND($DJ19,SIGN($DJ19)*0.05)),MAX(INDEX(INDIRECT($AG19&amp;LEFT(FV$17)),,1))),INDIRECT($AG19&amp;LEFT(FV$17)),$AH19,FALSE)*IF(LEFT($AG19,3)="Com",$K19,IF(OR($H19=$B$12,$H19=$B$13),1-Downscale,1))</f>
        <v>0</v>
      </c>
      <c r="FW19" s="200">
        <f t="shared" ref="FW19:FW82" si="271">IF($F19&lt;0,,IF($R19&gt;$F19,1,))</f>
        <v>0</v>
      </c>
      <c r="FX19" s="201">
        <f t="shared" ref="FX19:FX50" ca="1" si="272">$AI19*Uplift*VLOOKUP(MIN(_xlfn.NUMBERVALUE(MROUND($DJ19,SIGN($DJ19)*0.05)),MAX(INDEX(INDIRECT($AG19&amp;LEFT(FX$17)),,1))),INDIRECT($AG19&amp;LEFT(FX$17)),$AH19,FALSE)</f>
        <v>0</v>
      </c>
      <c r="FY19" s="200">
        <f t="shared" ref="FY19:FY82" si="273">IF($F19&lt;0,,IF($R19&gt;$F19,1,))</f>
        <v>0</v>
      </c>
      <c r="FZ19" s="201" cm="1">
        <f t="array" ref="FZ19">IF(LEFT($AG19,3)="Res",IF(OR($DT19&gt;External_Threshold,$DJ19&gt;0),1*Uplift*AWE*(External),0),0)</f>
        <v>0</v>
      </c>
      <c r="GA19" s="200">
        <f t="shared" ref="GA19:GA82" si="274">IF($G19&lt;0,,IF($R19&gt;$G19,1,))</f>
        <v>0</v>
      </c>
      <c r="GB19" s="201">
        <f t="shared" ref="GB19:GB50" si="275">$AI19*Uplift*($BG19*Injury+$BH19*Fatality)*FW19</f>
        <v>0</v>
      </c>
      <c r="GC19" s="203">
        <f>IF(OR($BG19&gt;0,$BH19&gt;0),1,0)</f>
        <v>0</v>
      </c>
      <c r="GD19" s="199">
        <f t="shared" ref="GD19:GD50" ca="1" si="276">$AI19*Uplift*VLOOKUP(MIN(_xlfn.NUMBERVALUE(MROUND($DK19,SIGN($DK19)*0.05)),MAX(INDEX(INDIRECT($AG19&amp;LEFT(GD$17)),,1))),INDIRECT($AG19&amp;LEFT(GD$17)),$AH19,FALSE)*IF(LEFT($AG19,3)="Com",$K19,IF(OR($H19=$B$12,$H19=$B$13),1-Downscale,1))</f>
        <v>0</v>
      </c>
      <c r="GE19" s="200">
        <f t="shared" ref="GE19:GE82" si="277">IF($F19&lt;0,,IF($S19&gt;$F19,1,))</f>
        <v>0</v>
      </c>
      <c r="GF19" s="201">
        <f t="shared" ref="GF19:GF50" ca="1" si="278">$AI19*Uplift*VLOOKUP(MIN(_xlfn.NUMBERVALUE(MROUND($DK19,SIGN($DK19)*0.05)),MAX(INDEX(INDIRECT($AG19&amp;LEFT(GF$17)),,1))),INDIRECT($AG19&amp;LEFT(GF$17)),$AH19,FALSE)</f>
        <v>0</v>
      </c>
      <c r="GG19" s="200">
        <f t="shared" ref="GG19:GG82" si="279">IF($F19&lt;0,,IF($S19&gt;$F19,1,))</f>
        <v>0</v>
      </c>
      <c r="GH19" s="201" cm="1">
        <f t="array" ref="GH19">IF(LEFT($AG19,3)="Res",IF(OR($DU19&gt;External_Threshold,$DK19&gt;0),1*Uplift*AWE*(External),0),0)</f>
        <v>0</v>
      </c>
      <c r="GI19" s="200">
        <f t="shared" ref="GI19:GI82" si="280">IF($G19&lt;0,,IF($S19&gt;$G19,1,))</f>
        <v>0</v>
      </c>
      <c r="GJ19" s="201">
        <f t="shared" ref="GJ19:GJ50" si="281">$AI19*Uplift*($BJ19*Injury+$BK19*Fatality)*GE19</f>
        <v>0</v>
      </c>
      <c r="GK19" s="203">
        <f>IF(OR($BJ19&gt;0,$BK19&gt;0),1,0)</f>
        <v>0</v>
      </c>
      <c r="GL19" s="199">
        <f t="shared" ref="GL19:GL50" ca="1" si="282">$AI19*Uplift*VLOOKUP(MIN(_xlfn.NUMBERVALUE(MROUND($DL19,SIGN($DL19)*0.05)),MAX(INDEX(INDIRECT($AG19&amp;LEFT(GL$17)),,1))),INDIRECT($AG19&amp;LEFT(GL$17)),$AH19,FALSE)*IF(LEFT($AG19,3)="Com",$K19,IF(OR($H19=$B$12,$H19=$B$13),1-Downscale,1))</f>
        <v>0</v>
      </c>
      <c r="GM19" s="200">
        <f t="shared" ref="GM19:GM82" si="283">IF($F19&lt;0,,IF($T19&gt;$F19,1,))</f>
        <v>0</v>
      </c>
      <c r="GN19" s="201">
        <f t="shared" ref="GN19:GN50" ca="1" si="284">$AI19*Uplift*VLOOKUP(MIN(_xlfn.NUMBERVALUE(MROUND($DL19,SIGN($DL19)*0.05)),MAX(INDEX(INDIRECT($AG19&amp;LEFT(GN$17)),,1))),INDIRECT($AG19&amp;LEFT(GN$17)),$AH19,FALSE)</f>
        <v>0</v>
      </c>
      <c r="GO19" s="200">
        <f t="shared" ref="GO19:GO82" si="285">IF($F19&lt;0,,IF($T19&gt;$F19,1,))</f>
        <v>0</v>
      </c>
      <c r="GP19" s="201" cm="1">
        <f t="array" ref="GP19">IF(LEFT($AG19,3)="Res",IF(OR($DV19&gt;External_Threshold,$DL19&gt;0),1*Uplift*AWE*(External),0),0)</f>
        <v>0</v>
      </c>
      <c r="GQ19" s="200">
        <f t="shared" ref="GQ19:GQ82" si="286">IF($G19&lt;0,,IF($T19&gt;$G19,1,))</f>
        <v>0</v>
      </c>
      <c r="GR19" s="201">
        <f t="shared" ref="GR19:GR50" si="287">$AI19*Uplift*($BM19*Injury+$BN19*Fatality)*GM19</f>
        <v>0</v>
      </c>
      <c r="GS19" s="203">
        <f>IF(OR($BM19&gt;0,$BN19&gt;0),1,0)</f>
        <v>0</v>
      </c>
      <c r="GT19" s="199">
        <f t="shared" ref="GT19:GT50" ca="1" si="288">$AI19*Uplift*VLOOKUP(MIN(_xlfn.NUMBERVALUE(MROUND($DM19,SIGN($DM19)*0.05)),MAX(INDEX(INDIRECT($AG19&amp;LEFT(GT$17)),,1))),INDIRECT($AG19&amp;LEFT(GT$17)),$AH19,FALSE)*IF(LEFT($AG19,3)="Com",$K19,IF(OR($H19=$B$12,$H19=$B$13),1-Downscale,1))</f>
        <v>0</v>
      </c>
      <c r="GU19" s="200">
        <f t="shared" ref="GU19:GU82" si="289">IF($F19&lt;0,,IF($U19&gt;$F19,1,))</f>
        <v>0</v>
      </c>
      <c r="GV19" s="201">
        <f t="shared" ref="GV19:GV50" ca="1" si="290">$AI19*Uplift*VLOOKUP(MIN(_xlfn.NUMBERVALUE(MROUND($DM19,SIGN($DM19)*0.05)),MAX(INDEX(INDIRECT($AG19&amp;LEFT(GV$17)),,1))),INDIRECT($AG19&amp;LEFT(GV$17)),$AH19,FALSE)</f>
        <v>0</v>
      </c>
      <c r="GW19" s="200">
        <f t="shared" ref="GW19:GW82" si="291">IF($F19&lt;0,,IF($U19&gt;$F19,1,))</f>
        <v>0</v>
      </c>
      <c r="GX19" s="201" cm="1">
        <f t="array" ref="GX19">IF(LEFT($AG19,3)="Res",IF(OR($DW19&gt;External_Threshold,$DM19&gt;0),1*Uplift*AWE*(External),0),0)</f>
        <v>0</v>
      </c>
      <c r="GY19" s="200">
        <f t="shared" ref="GY19:GY82" si="292">IF($G19&lt;0,,IF($U19&gt;$G19,1,))</f>
        <v>0</v>
      </c>
      <c r="GZ19" s="201">
        <f t="shared" ref="GZ19:GZ50" si="293">$AI19*Uplift*($BP19*Injury+$BQ19*Fatality)*GM19</f>
        <v>0</v>
      </c>
      <c r="HA19" s="203">
        <f>IF(OR($BP19&gt;0,$BQ19&gt;0),1,0)</f>
        <v>0</v>
      </c>
      <c r="HB19" s="54"/>
      <c r="HC19" s="54"/>
      <c r="HD19" s="54"/>
      <c r="HE19" s="54"/>
      <c r="HF19" s="54"/>
      <c r="HG19" s="201">
        <f ca="1">SUM($DZ19,$EB19,$ED19,$EF19)</f>
        <v>101494.99215591274</v>
      </c>
      <c r="HH19" s="201">
        <f ca="1">SUM($EH19,$EJ19,$EL19,$EN19)</f>
        <v>468.30589725036168</v>
      </c>
      <c r="HI19" s="201">
        <f ca="1">SUM($EP19,$ER19,$ET19,$EV19)</f>
        <v>0</v>
      </c>
      <c r="HJ19" s="201">
        <f ca="1">SUM($EX19,$EZ19,$FB19,$FD19)</f>
        <v>0</v>
      </c>
      <c r="HK19" s="201">
        <f ca="1">SUM($FF19,$FH19,$FJ19,$FL19)</f>
        <v>0</v>
      </c>
      <c r="HL19" s="201">
        <f ca="1">SUM($FN19,$FP19,$FR19,$FT19)</f>
        <v>0</v>
      </c>
      <c r="HM19" s="201">
        <f ca="1">SUM($FV19,$FX19,$FZ19,$GB19)</f>
        <v>0</v>
      </c>
      <c r="HN19" s="201">
        <f ca="1">SUM($GD19,$GF19,$GH19,$GJ19)</f>
        <v>0</v>
      </c>
      <c r="HO19" s="201">
        <f ca="1">SUM($GL19,$GN19,$GP19,$GR19)</f>
        <v>0</v>
      </c>
      <c r="HP19" s="201">
        <f ca="1">SUM($GT19,$GV19,$GX19,$GZ19)</f>
        <v>0</v>
      </c>
      <c r="HQ19" s="54"/>
    </row>
    <row r="20" spans="1:228" x14ac:dyDescent="0.3">
      <c r="A20" s="513">
        <v>2</v>
      </c>
      <c r="B20" s="514" t="s">
        <v>210</v>
      </c>
      <c r="C20" s="514" t="s">
        <v>390</v>
      </c>
      <c r="D20" s="514" t="s">
        <v>390</v>
      </c>
      <c r="E20" s="513">
        <v>0</v>
      </c>
      <c r="F20" s="515">
        <v>6.81</v>
      </c>
      <c r="G20" s="515">
        <v>6.51</v>
      </c>
      <c r="H20" s="516">
        <v>1</v>
      </c>
      <c r="I20" s="517">
        <v>1</v>
      </c>
      <c r="J20" s="518" t="s">
        <v>43</v>
      </c>
      <c r="K20" s="513">
        <f t="shared" si="204"/>
        <v>180</v>
      </c>
      <c r="L20" s="519">
        <v>7.74</v>
      </c>
      <c r="M20" s="519">
        <v>6.6999999999999993</v>
      </c>
      <c r="N20" s="519">
        <v>6.3999999999999995</v>
      </c>
      <c r="O20" s="519">
        <v>6.1</v>
      </c>
      <c r="P20" s="519">
        <v>5.6</v>
      </c>
      <c r="Q20" s="519">
        <v>5.0999999999999996</v>
      </c>
      <c r="R20" s="519">
        <v>4.3</v>
      </c>
      <c r="S20" s="519">
        <v>0</v>
      </c>
      <c r="T20" s="519">
        <v>0</v>
      </c>
      <c r="U20" s="519">
        <v>0</v>
      </c>
      <c r="V20" s="521"/>
      <c r="W20" s="521"/>
      <c r="X20" s="521"/>
      <c r="Y20" s="521"/>
      <c r="Z20" s="521"/>
      <c r="AA20" s="521"/>
      <c r="AB20" s="521"/>
      <c r="AC20" s="521"/>
      <c r="AD20" s="521"/>
      <c r="AE20" s="521"/>
      <c r="AF20" s="54"/>
      <c r="AG20" s="204" t="str">
        <f>IF(AND($H20&lt;=4),"Res","Com")&amp;IF($H20=3,1,IF($H20=4,2,IF($H20&gt;4,1,IF($E20&lt;=1,1,2))))</f>
        <v>Res1</v>
      </c>
      <c r="AH20" s="204">
        <f t="shared" ref="AH20:AH83" si="294">IF(LEFT($AG20,3)="Res",_xlfn.XLOOKUP($J20,$L$14:$N$14,$L$13:$N$13,$O$13,1,-1),$H20-3)</f>
        <v>5</v>
      </c>
      <c r="AI20" s="204">
        <f t="shared" si="205"/>
        <v>1</v>
      </c>
      <c r="AJ20" s="54"/>
      <c r="AK20" s="74">
        <f>IFERROR(IF(H20&gt;4,0,AI20*Inputs!$C$55),0)</f>
        <v>2.6</v>
      </c>
      <c r="AL20" s="81">
        <f>IFERROR(Inputs!$C$73,0)</f>
        <v>5</v>
      </c>
      <c r="AM20" s="211">
        <f>IFERROR(Inputs!$C$74,0)</f>
        <v>0.24299999999999999</v>
      </c>
      <c r="AN20" s="446">
        <f>IFERROR(HLOOKUP(HLOOKUP(AN$17,$V$18:$AE20,COUNTA($AK$18:$AK20),FALSE),Inputs!$B$58:$H$59,2,FALSE),0)</f>
        <v>0</v>
      </c>
      <c r="AO20" s="447">
        <f t="shared" ref="AO20:AO83" si="295">2*$AK20*AN20*$AL20/100*$AM20</f>
        <v>0</v>
      </c>
      <c r="AP20" s="447">
        <f t="shared" ref="AP20:AP83" si="296">2*AO20*AN20/100</f>
        <v>0</v>
      </c>
      <c r="AQ20" s="446">
        <f>IFERROR(HLOOKUP(HLOOKUP(AQ$17,$V$18:$AE20,COUNTA($AK$18:$AK20),FALSE),Inputs!$B$58:$H$59,2,FALSE),0)</f>
        <v>0</v>
      </c>
      <c r="AR20" s="447">
        <f t="shared" ref="AR20" si="297">2*$AK20*AQ20*$AL20/100*$AM20</f>
        <v>0</v>
      </c>
      <c r="AS20" s="447">
        <f t="shared" ref="AS20:AS83" si="298">2*AR20*AQ20/100</f>
        <v>0</v>
      </c>
      <c r="AT20" s="446">
        <f>IFERROR(HLOOKUP(HLOOKUP(AT$17,$V$18:$AE20,COUNTA($AK$18:$AK20),FALSE),Inputs!$B$58:$H$59,2,FALSE),0)</f>
        <v>0</v>
      </c>
      <c r="AU20" s="447">
        <f t="shared" ref="AU20" si="299">2*$AK20*AT20*$AL20/100*$AM20</f>
        <v>0</v>
      </c>
      <c r="AV20" s="447">
        <f t="shared" ref="AV20:AV83" si="300">2*AU20*AT20/100</f>
        <v>0</v>
      </c>
      <c r="AW20" s="446">
        <f>IFERROR(HLOOKUP(HLOOKUP(AW$17,$V$18:$AE20,COUNTA($AK$18:$AK20),FALSE),Inputs!$B$58:$H$59,2,FALSE),0)</f>
        <v>0</v>
      </c>
      <c r="AX20" s="447">
        <f t="shared" ref="AX20" si="301">2*$AK20*AW20*$AL20/100*$AM20</f>
        <v>0</v>
      </c>
      <c r="AY20" s="447">
        <f t="shared" ref="AY20:AY83" si="302">2*AX20*AW20/100</f>
        <v>0</v>
      </c>
      <c r="AZ20" s="446">
        <f>IFERROR(HLOOKUP(HLOOKUP(AZ$17,$V$18:$AE20,COUNTA($AK$18:$AK20),FALSE),Inputs!$B$58:$H$59,2,FALSE),0)</f>
        <v>0</v>
      </c>
      <c r="BA20" s="447">
        <f t="shared" ref="BA20" si="303">2*$AK20*AZ20*$AL20/100*$AM20</f>
        <v>0</v>
      </c>
      <c r="BB20" s="447">
        <f t="shared" ref="BB20:BB83" si="304">2*BA20*AZ20/100</f>
        <v>0</v>
      </c>
      <c r="BC20" s="446">
        <f>IFERROR(HLOOKUP(HLOOKUP(BC$17,$V$18:$AE20,COUNTA($AK$18:$AK20),FALSE),Inputs!$B$58:$H$59,2,FALSE),0)</f>
        <v>0</v>
      </c>
      <c r="BD20" s="447">
        <f t="shared" ref="BD20" si="305">2*$AK20*BC20*$AL20/100*$AM20</f>
        <v>0</v>
      </c>
      <c r="BE20" s="447">
        <f t="shared" ref="BE20:BE83" si="306">2*BD20*BC20/100</f>
        <v>0</v>
      </c>
      <c r="BF20" s="446">
        <f>IFERROR(HLOOKUP(HLOOKUP(BF$17,$V$18:$AE20,COUNTA($AK$18:$AK20),FALSE),Inputs!$B$58:$H$59,2,FALSE),0)</f>
        <v>0</v>
      </c>
      <c r="BG20" s="447">
        <f t="shared" ref="BG20" si="307">2*$AK20*BF20*$AL20/100*$AM20</f>
        <v>0</v>
      </c>
      <c r="BH20" s="447">
        <f t="shared" ref="BH20:BH83" si="308">2*BG20*BF20/100</f>
        <v>0</v>
      </c>
      <c r="BI20" s="446">
        <f>IFERROR(HLOOKUP(HLOOKUP(BI$17,$V$18:$AE20,COUNTA($AK$18:$AK20),FALSE),Inputs!$B$58:$H$59,2,FALSE),0)</f>
        <v>0</v>
      </c>
      <c r="BJ20" s="447">
        <f t="shared" ref="BJ20" si="309">2*$AK20*BI20*$AL20/100*$AM20</f>
        <v>0</v>
      </c>
      <c r="BK20" s="447">
        <f t="shared" ref="BK20:BK83" si="310">2*BJ20*BI20/100</f>
        <v>0</v>
      </c>
      <c r="BL20" s="446">
        <f>IFERROR(HLOOKUP(HLOOKUP(BL$17,$V$18:$AE20,COUNTA($AK$18:$AK20),FALSE),Inputs!$B$58:$H$59,2,FALSE),0)</f>
        <v>0</v>
      </c>
      <c r="BM20" s="447">
        <f t="shared" ref="BM20" si="311">2*$AK20*BL20*$AL20/100*$AM20</f>
        <v>0</v>
      </c>
      <c r="BN20" s="447">
        <f t="shared" ref="BN20:BN83" si="312">2*BM20*BL20/100</f>
        <v>0</v>
      </c>
      <c r="BO20" s="446">
        <f>IFERROR(HLOOKUP(HLOOKUP(BO$17,$V$18:$AE20,COUNTA($AK$18:$AK20),FALSE),Inputs!$B$58:$H$59,2,FALSE),0)</f>
        <v>0</v>
      </c>
      <c r="BP20" s="447">
        <f t="shared" ref="BP20" si="313">2*$AK20*BO20*$AL20/100*$AM20</f>
        <v>0</v>
      </c>
      <c r="BQ20" s="447">
        <f t="shared" ref="BQ20:BQ83" si="314">2*BP20*BO20/100</f>
        <v>0</v>
      </c>
      <c r="BR20" s="54"/>
      <c r="BS20" s="103">
        <f ca="1">+($U$10-$T$10)*(($GT20)+($GL20))/2+($T$10-$S$10)*(($GL20)+($GD20))/2+($S$10-$R$10)*(($GD20)+($FV20))/2+($R$10-$Q$10)*(($FV20)+($FN20))/2+($Q$10-$P$10)*(($FN20)+($FF20))/2+($P$10-$O$10)*(($FF20)+($EX20))/2+($O$10-$N$10)*(($EX20)+($EP20))/2+($N$10-$M$10)*(($EP20)+($EH20))/2+($M$10-$L$10)*(($EH20)+($DZ20))/2</f>
        <v>97.541732407742415</v>
      </c>
      <c r="BT20" s="103">
        <f ca="1">+($U$10-$T$10)*(($GV20)+($GN20))/2+($T$10-$S$10)*(($GN20)+($GF20))/2+($S$10-$R$10)*(($GF20)+($FX20))/2+($R$10-$Q$10)*(($FX20)+($FP20))/2+($Q$10-$P$10)*(($FP20)+($FH20))/2+($P$10-$O$10)*(($FH20)+($EZ20))/2+($O$10-$N$10)*(($EZ20)+($ER20))/2+($N$10-$M$10)*(($ER20)+($EJ20))/2+($M$10-$L$10)*(($EJ20)+($EB20))/2</f>
        <v>83.897825947197518</v>
      </c>
      <c r="BU20" s="103">
        <f>+($U$10-$T$10)*(($GX20)+($GP20))/2+($T$10-$S$10)*(($GP20)+($GH20))/2+($S$10-$R$10)*(($GH20)+($FZ20))/2+($R$10-$Q$10)*(($FZ20)+($FR20))/2+($Q$10-$P$10)*(($FR20)+($FJ20))/2+($P$10-$O$10)*(($FJ20)+($FB20))/2+($O$10-$N$10)*(($FB20)+($ET20))/2+($N$10-$M$10)*(($ET20)+($EL20))/2+($M$10-$L$10)*(($EL20)+($ED20))/2</f>
        <v>15.403780752532562</v>
      </c>
      <c r="BV20" s="103">
        <f>+($U$10-$T$10)*(($GZ20)+($GR20))/2+($T$10-$S$10)*(($GR20)+($GJ20))/2+($S$10-$R$10)*(($GJ20)+($GB20))/2+($R$10-$Q$10)*(($GB20)+($FT20))/2+($Q$10-$P$10)*(($FT20)+($FL20))/2+($P$10-$O$10)*(($FL20)+($FD20))/2+($O$10-$N$10)*(($FD20)+($EV20))/2+($N$10-$M$10)*(($EV20)+($EN20))/2+($M$10-$L$10)*(($EN20)+($EF20))/2</f>
        <v>0</v>
      </c>
      <c r="BW20" s="152">
        <f ca="1">SUM(BS20,BT20,BU20,BV20)</f>
        <v>196.8433391074725</v>
      </c>
      <c r="BX20" s="441"/>
      <c r="BY20" s="94" t="s">
        <v>91</v>
      </c>
      <c r="BZ20" s="356">
        <f>$DD$9</f>
        <v>94</v>
      </c>
      <c r="CA20" s="95">
        <f>$DD$7</f>
        <v>4.8999999999999995</v>
      </c>
      <c r="CB20" s="79">
        <f ca="1">$DZ$10</f>
        <v>11956604.55420821</v>
      </c>
      <c r="CC20" s="79">
        <f ca="1">$DZ$9</f>
        <v>127197.92078944904</v>
      </c>
      <c r="CD20" s="54"/>
      <c r="CE20" s="94" t="s">
        <v>91</v>
      </c>
      <c r="CF20" s="356">
        <f>$DD$9</f>
        <v>94</v>
      </c>
      <c r="CG20" s="95">
        <f>$DD$7</f>
        <v>4.8999999999999995</v>
      </c>
      <c r="CH20" s="79">
        <f ca="1">$EB$10</f>
        <v>8434529.9156370517</v>
      </c>
      <c r="CI20" s="79">
        <f ca="1">$EB$9</f>
        <v>89729.041655713314</v>
      </c>
      <c r="CJ20" s="54"/>
      <c r="CK20" s="94" t="s">
        <v>91</v>
      </c>
      <c r="CL20" s="356">
        <f>$DN$9</f>
        <v>94</v>
      </c>
      <c r="CM20" s="95">
        <f>$DN$7</f>
        <v>5.3933333333333069</v>
      </c>
      <c r="CN20" s="79">
        <f>$ED$10</f>
        <v>1455231.548480463</v>
      </c>
      <c r="CO20" s="79">
        <f>$ED$9</f>
        <v>15481.186685962371</v>
      </c>
      <c r="CP20" s="54"/>
      <c r="CQ20" s="94" t="s">
        <v>91</v>
      </c>
      <c r="CR20" s="356">
        <f>$DD$9</f>
        <v>94</v>
      </c>
      <c r="CS20" s="95">
        <f>$DD$7</f>
        <v>4.8999999999999995</v>
      </c>
      <c r="CT20" s="79">
        <f>$EF$10</f>
        <v>0</v>
      </c>
      <c r="CU20" s="79" t="str">
        <f>$EF$9</f>
        <v>--</v>
      </c>
      <c r="CV20" s="54"/>
      <c r="CW20" s="94" t="s">
        <v>91</v>
      </c>
      <c r="CX20" s="356">
        <f>$DD$9</f>
        <v>94</v>
      </c>
      <c r="CY20" s="95">
        <f>$DD$7</f>
        <v>4.8999999999999995</v>
      </c>
      <c r="CZ20" s="79">
        <f ca="1">SUM(DetailedStructural[[#This Row],[Total Damages]],DetailedInternal[[#This Row],[Total Damages]],DetailedExternal[[#This Row],[Total Damages]],DetailedRiskToLife[[#This Row],[Total Damages]])</f>
        <v>21846366.018325724</v>
      </c>
      <c r="DA20" s="79">
        <f ca="1">SUM(DetailedStructural[[#This Row],[AAD per Property]],DetailedInternal[[#This Row],[AAD per Property]],DetailedExternal[[#This Row],[AAD per Property]],DetailedRiskToLife[[#This Row],[AAD per Property]])</f>
        <v>232408.14913112472</v>
      </c>
      <c r="DB20" s="54"/>
      <c r="DC20" s="54"/>
      <c r="DD20" s="188">
        <f t="shared" ref="DD20:DD83" si="315">IF(L20-$F20&lt;-0.3,-0.3,L20-$F20)</f>
        <v>0.9300000000000006</v>
      </c>
      <c r="DE20" s="188">
        <f t="shared" ref="DE20:DE83" si="316">IF(M20-$F20&lt;-0.3,-0.3,M20-$F20)</f>
        <v>-0.11000000000000032</v>
      </c>
      <c r="DF20" s="188">
        <f t="shared" ref="DF20:DF83" si="317">IF(N20-$F20&lt;-0.3,-0.3,N20-$F20)</f>
        <v>-0.3</v>
      </c>
      <c r="DG20" s="188">
        <f t="shared" ref="DG20:DG83" si="318">IF(O20-$F20&lt;-0.3,-0.3,O20-$F20)</f>
        <v>-0.3</v>
      </c>
      <c r="DH20" s="188">
        <f t="shared" ref="DH20:DH83" si="319">IF(P20-$F20&lt;-0.3,-0.3,P20-$F20)</f>
        <v>-0.3</v>
      </c>
      <c r="DI20" s="188">
        <f t="shared" ref="DI20:DI83" si="320">IF(Q20-$F20&lt;-0.3,-0.3,Q20-$F20)</f>
        <v>-0.3</v>
      </c>
      <c r="DJ20" s="188">
        <f t="shared" ref="DJ20:DJ83" si="321">IF(R20-$F20&lt;-0.3,-0.3,R20-$F20)</f>
        <v>-0.3</v>
      </c>
      <c r="DK20" s="188">
        <f t="shared" ref="DK20:DK83" si="322">IF(S20-$F20&lt;-0.3,-0.3,S20-$F20)</f>
        <v>-0.3</v>
      </c>
      <c r="DL20" s="188">
        <f t="shared" ref="DL20:DL83" si="323">IF(T20-$F20&lt;-0.3,-0.3,T20-$F20)</f>
        <v>-0.3</v>
      </c>
      <c r="DM20" s="188">
        <f t="shared" ref="DM20:DM83" si="324">IF(U20-$F20&lt;-0.3,-0.3,U20-$F20)</f>
        <v>-0.3</v>
      </c>
      <c r="DN20" s="189">
        <f t="shared" ref="DN20:DN83" si="325">IF(L20-$G20&lt;0,0,L20-$G20)</f>
        <v>1.2300000000000004</v>
      </c>
      <c r="DO20" s="189">
        <f t="shared" ref="DO20:DO83" si="326">IF(M20-$G20&lt;0,0,M20-$G20)</f>
        <v>0.1899999999999995</v>
      </c>
      <c r="DP20" s="189">
        <f t="shared" ref="DP20:DP83" si="327">IF(N20-$G20&lt;0,0,N20-$G20)</f>
        <v>0</v>
      </c>
      <c r="DQ20" s="189">
        <f t="shared" ref="DQ20:DQ83" si="328">IF(O20-$G20&lt;0,0,O20-$G20)</f>
        <v>0</v>
      </c>
      <c r="DR20" s="189">
        <f t="shared" ref="DR20:DR83" si="329">IF(P20-$G20&lt;0,0,P20-$G20)</f>
        <v>0</v>
      </c>
      <c r="DS20" s="189">
        <f t="shared" ref="DS20:DS83" si="330">IF(Q20-$G20&lt;0,0,Q20-$G20)</f>
        <v>0</v>
      </c>
      <c r="DT20" s="189">
        <f t="shared" ref="DT20:DT83" si="331">IF(R20-$G20&lt;0,0,R20-$G20)</f>
        <v>0</v>
      </c>
      <c r="DU20" s="189">
        <f t="shared" ref="DU20:DU83" si="332">IF(S20-$G20&lt;0,0,S20-$G20)</f>
        <v>0</v>
      </c>
      <c r="DV20" s="189">
        <f t="shared" ref="DV20:DV83" si="333">IF(T20-$G20&lt;0,0,T20-$G20)</f>
        <v>0</v>
      </c>
      <c r="DW20" s="189">
        <f t="shared" ref="DW20:DW83" si="334">IF(U20-$G20&lt;0,0,U20-$G20)</f>
        <v>0</v>
      </c>
      <c r="DX20" s="54"/>
      <c r="DY20" s="54"/>
      <c r="DZ20" s="199">
        <f t="shared" ca="1" si="237"/>
        <v>88637.534370477588</v>
      </c>
      <c r="EA20" s="200">
        <f t="shared" ref="EA20:EA83" si="335">IF($F20&lt;0,,IF($L20&gt;$F20,1,))</f>
        <v>1</v>
      </c>
      <c r="EB20" s="201">
        <f t="shared" ca="1" si="238"/>
        <v>84319.423062510061</v>
      </c>
      <c r="EC20" s="200">
        <f t="shared" ref="EC20:EC83" si="336">IF($F20&lt;0,,IF($L20&gt;$F20,1,))</f>
        <v>1</v>
      </c>
      <c r="ED20" s="201" cm="1">
        <f t="array" ref="ED20">IF(LEFT($AG20,3)="Res",IF(OR($DN20&gt;External_Threshold,$DD20&gt;0),1*Uplift*AWE*(External),0),0)</f>
        <v>15481.186685962373</v>
      </c>
      <c r="EE20" s="200">
        <f t="shared" ref="EE20:EE83" si="337">IF($G20&lt;0,,IF($L20&gt;$G20,1,))</f>
        <v>1</v>
      </c>
      <c r="EF20" s="201">
        <f t="shared" si="239"/>
        <v>0</v>
      </c>
      <c r="EG20" s="203">
        <f t="shared" ref="EG20:EG83" si="338">IF(OR($AO20&gt;0,$AP20&gt;0),1,0)</f>
        <v>0</v>
      </c>
      <c r="EH20" s="199">
        <f t="shared" ca="1" si="240"/>
        <v>3746.4471780028939</v>
      </c>
      <c r="EI20" s="200">
        <f t="shared" si="241"/>
        <v>0</v>
      </c>
      <c r="EJ20" s="201">
        <f t="shared" ca="1" si="242"/>
        <v>0</v>
      </c>
      <c r="EK20" s="200">
        <f t="shared" si="243"/>
        <v>0</v>
      </c>
      <c r="EL20" s="201" cm="1">
        <f t="array" ref="EL20">IF(LEFT($AG20,3)="Res",IF(OR($DO20&gt;External_Threshold,$DE20&gt;0),1*Uplift*AWE*(External),0),0)</f>
        <v>0</v>
      </c>
      <c r="EM20" s="200">
        <f t="shared" si="244"/>
        <v>1</v>
      </c>
      <c r="EN20" s="201">
        <f t="shared" si="245"/>
        <v>0</v>
      </c>
      <c r="EO20" s="203">
        <f t="shared" ref="EO20:EO83" si="339">IF(OR($AR20&gt;0,$AS20&gt;0),1,0)</f>
        <v>0</v>
      </c>
      <c r="EP20" s="199">
        <f t="shared" ca="1" si="246"/>
        <v>0</v>
      </c>
      <c r="EQ20" s="200">
        <f t="shared" si="247"/>
        <v>0</v>
      </c>
      <c r="ER20" s="201">
        <f t="shared" ca="1" si="248"/>
        <v>0</v>
      </c>
      <c r="ES20" s="200">
        <f t="shared" si="249"/>
        <v>0</v>
      </c>
      <c r="ET20" s="201" cm="1">
        <f t="array" ref="ET20">IF(LEFT($AG20,3)="Res",IF(OR($DP20&gt;External_Threshold,$DF20&gt;0),1*Uplift*AWE*(External),0),0)</f>
        <v>0</v>
      </c>
      <c r="EU20" s="200">
        <f t="shared" si="250"/>
        <v>0</v>
      </c>
      <c r="EV20" s="201">
        <f t="shared" si="251"/>
        <v>0</v>
      </c>
      <c r="EW20" s="203">
        <f t="shared" ref="EW20:EW83" si="340">IF(OR($AU20&gt;0,$AV20&gt;0),1,0)</f>
        <v>0</v>
      </c>
      <c r="EX20" s="199">
        <f t="shared" ca="1" si="252"/>
        <v>0</v>
      </c>
      <c r="EY20" s="200">
        <f t="shared" si="253"/>
        <v>0</v>
      </c>
      <c r="EZ20" s="201">
        <f t="shared" ca="1" si="254"/>
        <v>0</v>
      </c>
      <c r="FA20" s="200">
        <f t="shared" si="255"/>
        <v>0</v>
      </c>
      <c r="FB20" s="201" cm="1">
        <f t="array" ref="FB20">IF(LEFT($AG20,3)="Res",IF(OR($DQ20&gt;External_Threshold,$DG20&gt;0),1*Uplift*AWE*(External),0),0)</f>
        <v>0</v>
      </c>
      <c r="FC20" s="200">
        <f t="shared" si="256"/>
        <v>0</v>
      </c>
      <c r="FD20" s="201">
        <f t="shared" si="257"/>
        <v>0</v>
      </c>
      <c r="FE20" s="203">
        <f t="shared" ref="FE20:FE83" si="341">IF(OR($AX20&gt;0,$AY20&gt;0),1,0)</f>
        <v>0</v>
      </c>
      <c r="FF20" s="199">
        <f t="shared" ca="1" si="258"/>
        <v>0</v>
      </c>
      <c r="FG20" s="200">
        <f t="shared" si="259"/>
        <v>0</v>
      </c>
      <c r="FH20" s="201">
        <f t="shared" ca="1" si="260"/>
        <v>0</v>
      </c>
      <c r="FI20" s="200">
        <f t="shared" si="261"/>
        <v>0</v>
      </c>
      <c r="FJ20" s="201" cm="1">
        <f t="array" ref="FJ20">IF(LEFT($AG20,3)="Res",IF(OR($DR20&gt;External_Threshold,$DH20&gt;0),1*Uplift*AWE*(External),0),0)</f>
        <v>0</v>
      </c>
      <c r="FK20" s="200">
        <f t="shared" si="262"/>
        <v>0</v>
      </c>
      <c r="FL20" s="201">
        <f t="shared" si="263"/>
        <v>0</v>
      </c>
      <c r="FM20" s="203">
        <f t="shared" ref="FM20:FM83" si="342">IF(OR($BA20&gt;0,$BB20&gt;0),1,0)</f>
        <v>0</v>
      </c>
      <c r="FN20" s="199">
        <f t="shared" ca="1" si="264"/>
        <v>0</v>
      </c>
      <c r="FO20" s="200">
        <f t="shared" si="265"/>
        <v>0</v>
      </c>
      <c r="FP20" s="201">
        <f t="shared" ca="1" si="266"/>
        <v>0</v>
      </c>
      <c r="FQ20" s="200">
        <f t="shared" si="267"/>
        <v>0</v>
      </c>
      <c r="FR20" s="201" cm="1">
        <f t="array" ref="FR20">IF(LEFT($AG20,3)="Res",IF(OR($DS20&gt;External_Threshold,$DI20&gt;0),1*Uplift*AWE*(External),0),0)</f>
        <v>0</v>
      </c>
      <c r="FS20" s="200">
        <f t="shared" si="268"/>
        <v>0</v>
      </c>
      <c r="FT20" s="201">
        <f t="shared" si="269"/>
        <v>0</v>
      </c>
      <c r="FU20" s="203">
        <f t="shared" ref="FU20:FU83" si="343">IF(OR($BD20&gt;0,$BE20&gt;0),1,0)</f>
        <v>0</v>
      </c>
      <c r="FV20" s="199">
        <f t="shared" ca="1" si="270"/>
        <v>0</v>
      </c>
      <c r="FW20" s="200">
        <f t="shared" si="271"/>
        <v>0</v>
      </c>
      <c r="FX20" s="201">
        <f t="shared" ca="1" si="272"/>
        <v>0</v>
      </c>
      <c r="FY20" s="200">
        <f t="shared" si="273"/>
        <v>0</v>
      </c>
      <c r="FZ20" s="201" cm="1">
        <f t="array" ref="FZ20">IF(LEFT($AG20,3)="Res",IF(OR($DT20&gt;External_Threshold,$DJ20&gt;0),1*Uplift*AWE*(External),0),0)</f>
        <v>0</v>
      </c>
      <c r="GA20" s="200">
        <f t="shared" si="274"/>
        <v>0</v>
      </c>
      <c r="GB20" s="201">
        <f t="shared" si="275"/>
        <v>0</v>
      </c>
      <c r="GC20" s="203">
        <f t="shared" ref="GC20:GC83" si="344">IF(OR($BG20&gt;0,$BH20&gt;0),1,0)</f>
        <v>0</v>
      </c>
      <c r="GD20" s="199">
        <f t="shared" ca="1" si="276"/>
        <v>0</v>
      </c>
      <c r="GE20" s="200">
        <f t="shared" si="277"/>
        <v>0</v>
      </c>
      <c r="GF20" s="201">
        <f t="shared" ca="1" si="278"/>
        <v>0</v>
      </c>
      <c r="GG20" s="200">
        <f t="shared" si="279"/>
        <v>0</v>
      </c>
      <c r="GH20" s="201" cm="1">
        <f t="array" ref="GH20">IF(LEFT($AG20,3)="Res",IF(OR($DU20&gt;External_Threshold,$DK20&gt;0),1*Uplift*AWE*(External),0),0)</f>
        <v>0</v>
      </c>
      <c r="GI20" s="200">
        <f t="shared" si="280"/>
        <v>0</v>
      </c>
      <c r="GJ20" s="201">
        <f t="shared" si="281"/>
        <v>0</v>
      </c>
      <c r="GK20" s="203">
        <f t="shared" ref="GK20:GK83" si="345">IF(OR($BJ20&gt;0,$BK20&gt;0),1,0)</f>
        <v>0</v>
      </c>
      <c r="GL20" s="199">
        <f t="shared" ca="1" si="282"/>
        <v>0</v>
      </c>
      <c r="GM20" s="200">
        <f t="shared" si="283"/>
        <v>0</v>
      </c>
      <c r="GN20" s="201">
        <f t="shared" ca="1" si="284"/>
        <v>0</v>
      </c>
      <c r="GO20" s="200">
        <f t="shared" si="285"/>
        <v>0</v>
      </c>
      <c r="GP20" s="201" cm="1">
        <f t="array" ref="GP20">IF(LEFT($AG20,3)="Res",IF(OR($DV20&gt;External_Threshold,$DL20&gt;0),1*Uplift*AWE*(External),0),0)</f>
        <v>0</v>
      </c>
      <c r="GQ20" s="200">
        <f t="shared" si="286"/>
        <v>0</v>
      </c>
      <c r="GR20" s="201">
        <f t="shared" si="287"/>
        <v>0</v>
      </c>
      <c r="GS20" s="203">
        <f t="shared" ref="GS20:GS83" si="346">IF(OR($BM20&gt;0,$BN20&gt;0),1,0)</f>
        <v>0</v>
      </c>
      <c r="GT20" s="199">
        <f t="shared" ca="1" si="288"/>
        <v>0</v>
      </c>
      <c r="GU20" s="200">
        <f t="shared" si="289"/>
        <v>0</v>
      </c>
      <c r="GV20" s="201">
        <f t="shared" ca="1" si="290"/>
        <v>0</v>
      </c>
      <c r="GW20" s="200">
        <f t="shared" si="291"/>
        <v>0</v>
      </c>
      <c r="GX20" s="201" cm="1">
        <f t="array" ref="GX20">IF(LEFT($AG20,3)="Res",IF(OR($DW20&gt;External_Threshold,$DM20&gt;0),1*Uplift*AWE*(External),0),0)</f>
        <v>0</v>
      </c>
      <c r="GY20" s="200">
        <f t="shared" si="292"/>
        <v>0</v>
      </c>
      <c r="GZ20" s="201">
        <f t="shared" si="293"/>
        <v>0</v>
      </c>
      <c r="HA20" s="203">
        <f t="shared" ref="HA20:HA83" si="347">IF(OR($BP20&gt;0,$BQ20&gt;0),1,0)</f>
        <v>0</v>
      </c>
      <c r="HB20" s="54"/>
      <c r="HC20" s="54"/>
      <c r="HD20" s="54"/>
      <c r="HE20" s="54"/>
      <c r="HF20" s="54"/>
      <c r="HG20" s="201">
        <f t="shared" ref="HG20:HG83" ca="1" si="348">SUM($DZ20,$EB20,$ED20,$EF20)</f>
        <v>188438.14411895</v>
      </c>
      <c r="HH20" s="201">
        <f t="shared" ref="HH20:HH83" ca="1" si="349">SUM($EH20,$EJ20,$EL20,$EN20)</f>
        <v>3746.4471780028939</v>
      </c>
      <c r="HI20" s="201">
        <f t="shared" ref="HI20:HI83" ca="1" si="350">SUM($EP20,$ER20,$ET20,$EV20)</f>
        <v>0</v>
      </c>
      <c r="HJ20" s="201">
        <f t="shared" ref="HJ20:HJ83" ca="1" si="351">SUM($EX20,$EZ20,$FB20,$FD20)</f>
        <v>0</v>
      </c>
      <c r="HK20" s="201">
        <f t="shared" ref="HK20:HK83" ca="1" si="352">SUM($FF20,$FH20,$FJ20,$FL20)</f>
        <v>0</v>
      </c>
      <c r="HL20" s="201">
        <f t="shared" ref="HL20:HL83" ca="1" si="353">SUM($FN20,$FP20,$FR20,$FT20)</f>
        <v>0</v>
      </c>
      <c r="HM20" s="201">
        <f t="shared" ref="HM20:HM83" ca="1" si="354">SUM($FV20,$FX20,$FZ20,$GB20)</f>
        <v>0</v>
      </c>
      <c r="HN20" s="201">
        <f t="shared" ref="HN20:HN83" ca="1" si="355">SUM($GD20,$GF20,$GH20,$GJ20)</f>
        <v>0</v>
      </c>
      <c r="HO20" s="201">
        <f t="shared" ref="HO20:HO83" ca="1" si="356">SUM($GL20,$GN20,$GP20,$GR20)</f>
        <v>0</v>
      </c>
      <c r="HP20" s="201">
        <f t="shared" ref="HP20:HP83" ca="1" si="357">SUM($GT20,$GV20,$GX20,$GZ20)</f>
        <v>0</v>
      </c>
      <c r="HQ20" s="54"/>
    </row>
    <row r="21" spans="1:228" x14ac:dyDescent="0.3">
      <c r="A21" s="513">
        <v>3</v>
      </c>
      <c r="B21" s="514" t="s">
        <v>211</v>
      </c>
      <c r="C21" s="514" t="s">
        <v>390</v>
      </c>
      <c r="D21" s="514" t="s">
        <v>390</v>
      </c>
      <c r="E21" s="513">
        <v>1</v>
      </c>
      <c r="F21" s="515">
        <v>7.59</v>
      </c>
      <c r="G21" s="515">
        <v>7.29</v>
      </c>
      <c r="H21" s="516">
        <v>2</v>
      </c>
      <c r="I21" s="517">
        <v>1</v>
      </c>
      <c r="J21" s="518" t="s">
        <v>44</v>
      </c>
      <c r="K21" s="513">
        <f t="shared" si="204"/>
        <v>240</v>
      </c>
      <c r="L21" s="519">
        <v>7.74</v>
      </c>
      <c r="M21" s="519">
        <v>6.6999999999999993</v>
      </c>
      <c r="N21" s="519">
        <v>6.3999999999999995</v>
      </c>
      <c r="O21" s="519">
        <v>6.1</v>
      </c>
      <c r="P21" s="519">
        <v>5.6</v>
      </c>
      <c r="Q21" s="519">
        <v>5.0999999999999996</v>
      </c>
      <c r="R21" s="519">
        <v>4.3</v>
      </c>
      <c r="S21" s="519">
        <v>0</v>
      </c>
      <c r="T21" s="519">
        <v>0</v>
      </c>
      <c r="U21" s="519">
        <v>0</v>
      </c>
      <c r="V21" s="536"/>
      <c r="W21" s="536"/>
      <c r="X21" s="536"/>
      <c r="Y21" s="536"/>
      <c r="Z21" s="536"/>
      <c r="AA21" s="536"/>
      <c r="AB21" s="536"/>
      <c r="AC21" s="536"/>
      <c r="AD21" s="536"/>
      <c r="AE21" s="536"/>
      <c r="AF21" s="54"/>
      <c r="AG21" s="204" t="str">
        <f>IF(AND($H21&lt;=4),"Res","Com")&amp;IF($H21=3,1,IF($H21=4,2,IF($H21&gt;4,1,IF($E21&lt;=1,1,2))))</f>
        <v>Res1</v>
      </c>
      <c r="AH21" s="204">
        <f t="shared" si="294"/>
        <v>6</v>
      </c>
      <c r="AI21" s="204">
        <f t="shared" si="205"/>
        <v>1</v>
      </c>
      <c r="AJ21" s="54"/>
      <c r="AK21" s="74">
        <f>IFERROR(IF(H21&gt;4,0,AI21*Inputs!$C$55),0)</f>
        <v>2.6</v>
      </c>
      <c r="AL21" s="81">
        <f>IFERROR(Inputs!$C$73,0)</f>
        <v>5</v>
      </c>
      <c r="AM21" s="211">
        <f>IFERROR(Inputs!$C$74,0)</f>
        <v>0.24299999999999999</v>
      </c>
      <c r="AN21" s="446">
        <f>IFERROR(HLOOKUP(HLOOKUP(AN$17,$V$18:$AE21,COUNTA($AK$18:$AK21),FALSE),Inputs!$B$58:$H$59,2,FALSE),0)</f>
        <v>0</v>
      </c>
      <c r="AO21" s="447">
        <f t="shared" si="295"/>
        <v>0</v>
      </c>
      <c r="AP21" s="447">
        <f t="shared" si="296"/>
        <v>0</v>
      </c>
      <c r="AQ21" s="446">
        <f>IFERROR(HLOOKUP(HLOOKUP(AQ$17,$V$18:$AE21,COUNTA($AK$18:$AK21),FALSE),Inputs!$B$58:$H$59,2,FALSE),0)</f>
        <v>0</v>
      </c>
      <c r="AR21" s="447">
        <f t="shared" ref="AR21" si="358">2*$AK21*AQ21*$AL21/100*$AM21</f>
        <v>0</v>
      </c>
      <c r="AS21" s="447">
        <f t="shared" si="298"/>
        <v>0</v>
      </c>
      <c r="AT21" s="446">
        <f>IFERROR(HLOOKUP(HLOOKUP(AT$17,$V$18:$AE21,COUNTA($AK$18:$AK21),FALSE),Inputs!$B$58:$H$59,2,FALSE),0)</f>
        <v>0</v>
      </c>
      <c r="AU21" s="447">
        <f t="shared" ref="AU21" si="359">2*$AK21*AT21*$AL21/100*$AM21</f>
        <v>0</v>
      </c>
      <c r="AV21" s="447">
        <f t="shared" si="300"/>
        <v>0</v>
      </c>
      <c r="AW21" s="446">
        <f>IFERROR(HLOOKUP(HLOOKUP(AW$17,$V$18:$AE21,COUNTA($AK$18:$AK21),FALSE),Inputs!$B$58:$H$59,2,FALSE),0)</f>
        <v>0</v>
      </c>
      <c r="AX21" s="447">
        <f t="shared" ref="AX21" si="360">2*$AK21*AW21*$AL21/100*$AM21</f>
        <v>0</v>
      </c>
      <c r="AY21" s="447">
        <f t="shared" si="302"/>
        <v>0</v>
      </c>
      <c r="AZ21" s="446">
        <f>IFERROR(HLOOKUP(HLOOKUP(AZ$17,$V$18:$AE21,COUNTA($AK$18:$AK21),FALSE),Inputs!$B$58:$H$59,2,FALSE),0)</f>
        <v>0</v>
      </c>
      <c r="BA21" s="447">
        <f t="shared" ref="BA21" si="361">2*$AK21*AZ21*$AL21/100*$AM21</f>
        <v>0</v>
      </c>
      <c r="BB21" s="447">
        <f t="shared" si="304"/>
        <v>0</v>
      </c>
      <c r="BC21" s="446">
        <f>IFERROR(HLOOKUP(HLOOKUP(BC$17,$V$18:$AE21,COUNTA($AK$18:$AK21),FALSE),Inputs!$B$58:$H$59,2,FALSE),0)</f>
        <v>0</v>
      </c>
      <c r="BD21" s="447">
        <f t="shared" ref="BD21" si="362">2*$AK21*BC21*$AL21/100*$AM21</f>
        <v>0</v>
      </c>
      <c r="BE21" s="447">
        <f t="shared" si="306"/>
        <v>0</v>
      </c>
      <c r="BF21" s="446">
        <f>IFERROR(HLOOKUP(HLOOKUP(BF$17,$V$18:$AE21,COUNTA($AK$18:$AK21),FALSE),Inputs!$B$58:$H$59,2,FALSE),0)</f>
        <v>0</v>
      </c>
      <c r="BG21" s="447">
        <f t="shared" ref="BG21" si="363">2*$AK21*BF21*$AL21/100*$AM21</f>
        <v>0</v>
      </c>
      <c r="BH21" s="447">
        <f t="shared" si="308"/>
        <v>0</v>
      </c>
      <c r="BI21" s="446">
        <f>IFERROR(HLOOKUP(HLOOKUP(BI$17,$V$18:$AE21,COUNTA($AK$18:$AK21),FALSE),Inputs!$B$58:$H$59,2,FALSE),0)</f>
        <v>0</v>
      </c>
      <c r="BJ21" s="447">
        <f t="shared" ref="BJ21" si="364">2*$AK21*BI21*$AL21/100*$AM21</f>
        <v>0</v>
      </c>
      <c r="BK21" s="447">
        <f t="shared" si="310"/>
        <v>0</v>
      </c>
      <c r="BL21" s="446">
        <f>IFERROR(HLOOKUP(HLOOKUP(BL$17,$V$18:$AE21,COUNTA($AK$18:$AK21),FALSE),Inputs!$B$58:$H$59,2,FALSE),0)</f>
        <v>0</v>
      </c>
      <c r="BM21" s="447">
        <f t="shared" ref="BM21" si="365">2*$AK21*BL21*$AL21/100*$AM21</f>
        <v>0</v>
      </c>
      <c r="BN21" s="447">
        <f t="shared" si="312"/>
        <v>0</v>
      </c>
      <c r="BO21" s="446">
        <f>IFERROR(HLOOKUP(HLOOKUP(BO$17,$V$18:$AE21,COUNTA($AK$18:$AK21),FALSE),Inputs!$B$58:$H$59,2,FALSE),0)</f>
        <v>0</v>
      </c>
      <c r="BP21" s="447">
        <f t="shared" ref="BP21" si="366">2*$AK21*BO21*$AL21/100*$AM21</f>
        <v>0</v>
      </c>
      <c r="BQ21" s="447">
        <f t="shared" si="314"/>
        <v>0</v>
      </c>
      <c r="BR21" s="54"/>
      <c r="BS21" s="103">
        <f t="shared" ca="1" si="224"/>
        <v>101.15662820188135</v>
      </c>
      <c r="BT21" s="103">
        <f ca="1">+($U$10-$T$10)*(($GV21)+($GN21))/2+($T$10-$S$10)*(($GN21)+($GF21))/2+($S$10-$R$10)*(($GF21)+($FX21))/2+($R$10-$Q$10)*(($FX21)+($FP21))/2+($Q$10-$P$10)*(($FP21)+($FH21))/2+($P$10-$O$10)*(($FH21)+($EZ21))/2+($O$10-$N$10)*(($EZ21)+($ER21))/2+($N$10-$M$10)*(($ER21)+($EJ21))/2+($M$10-$L$10)*(($EJ21)+($EB21))/2</f>
        <v>38.227825706427147</v>
      </c>
      <c r="BU21" s="103">
        <f>+($U$10-$T$10)*(($GX21)+($GP21))/2+($T$10-$S$10)*(($GP21)+($GH21))/2+($S$10-$R$10)*(($GH21)+($FZ21))/2+($R$10-$Q$10)*(($FZ21)+($FR21))/2+($Q$10-$P$10)*(($FR21)+($FJ21))/2+($P$10-$O$10)*(($FJ21)+($FB21))/2+($O$10-$N$10)*(($FB21)+($ET21))/2+($N$10-$M$10)*(($ET21)+($EL21))/2+($M$10-$L$10)*(($EL21)+($ED21))/2</f>
        <v>15.403780752532562</v>
      </c>
      <c r="BV21" s="103">
        <f>+($U$10-$T$10)*(($GZ21)+($GR21))/2+($T$10-$S$10)*(($GR21)+($GJ21))/2+($S$10-$R$10)*(($GJ21)+($GB21))/2+($R$10-$Q$10)*(($GB21)+($FT21))/2+($Q$10-$P$10)*(($FT21)+($FL21))/2+($P$10-$O$10)*(($FL21)+($FD21))/2+($O$10-$N$10)*(($FD21)+($EV21))/2+($N$10-$M$10)*(($EV21)+($EN21))/2+($M$10-$L$10)*(($EN21)+($EF21))/2</f>
        <v>0</v>
      </c>
      <c r="BW21" s="152">
        <f ca="1">SUM(BS21,BT21,BU21,BV21)</f>
        <v>154.78823466084106</v>
      </c>
      <c r="BX21" s="441"/>
      <c r="BY21" s="94" t="s">
        <v>92</v>
      </c>
      <c r="BZ21" s="356">
        <f>$DD$10</f>
        <v>25</v>
      </c>
      <c r="CA21" s="95">
        <f>$DD$8</f>
        <v>3.7699999999999987</v>
      </c>
      <c r="CB21" s="79">
        <f ca="1">$DZ$12</f>
        <v>5319886.3423362579</v>
      </c>
      <c r="CC21" s="79">
        <f ca="1">$DZ$11</f>
        <v>212795.45369345031</v>
      </c>
      <c r="CD21" s="54"/>
      <c r="CE21" s="94" t="s">
        <v>92</v>
      </c>
      <c r="CF21" s="356">
        <f>$DD$10</f>
        <v>25</v>
      </c>
      <c r="CG21" s="95">
        <f>$DD$8</f>
        <v>3.7699999999999987</v>
      </c>
      <c r="CH21" s="79">
        <f ca="1">$EB$12</f>
        <v>0</v>
      </c>
      <c r="CI21" s="79">
        <f ca="1">$EB$11</f>
        <v>0</v>
      </c>
      <c r="CJ21" s="54"/>
      <c r="CK21" s="94" t="s">
        <v>92</v>
      </c>
      <c r="CL21" s="356">
        <f>$DN$10</f>
        <v>25</v>
      </c>
      <c r="CM21" s="95">
        <f>$DN$8</f>
        <v>4.5127272727272691</v>
      </c>
      <c r="CN21" s="79">
        <f>$ED$12</f>
        <v>0</v>
      </c>
      <c r="CO21" s="79">
        <f>$ED$11</f>
        <v>0</v>
      </c>
      <c r="CP21" s="54"/>
      <c r="CQ21" s="94" t="s">
        <v>92</v>
      </c>
      <c r="CR21" s="356">
        <f>$DD$10</f>
        <v>25</v>
      </c>
      <c r="CS21" s="95">
        <f>$DD$8</f>
        <v>3.7699999999999987</v>
      </c>
      <c r="CT21" s="79">
        <f>$EF$12</f>
        <v>0</v>
      </c>
      <c r="CU21" s="79" t="str">
        <f>$EF$11</f>
        <v>--</v>
      </c>
      <c r="CV21" s="54"/>
      <c r="CW21" s="94" t="s">
        <v>92</v>
      </c>
      <c r="CX21" s="356">
        <f>$DD$10</f>
        <v>25</v>
      </c>
      <c r="CY21" s="95">
        <f>$DD$8</f>
        <v>3.7699999999999987</v>
      </c>
      <c r="CZ21" s="79">
        <f ca="1">SUM(DetailedStructural[[#This Row],[Total Damages]],DetailedInternal[[#This Row],[Total Damages]],DetailedExternal[[#This Row],[Total Damages]],DetailedRiskToLife[[#This Row],[Total Damages]])</f>
        <v>5319886.3423362579</v>
      </c>
      <c r="DA21" s="79">
        <f ca="1">SUM(DetailedStructural[[#This Row],[AAD per Property]],DetailedInternal[[#This Row],[AAD per Property]],DetailedExternal[[#This Row],[AAD per Property]],DetailedRiskToLife[[#This Row],[AAD per Property]])</f>
        <v>212795.45369345031</v>
      </c>
      <c r="DB21" s="54"/>
      <c r="DC21" s="54"/>
      <c r="DD21" s="188">
        <f t="shared" si="315"/>
        <v>0.15000000000000036</v>
      </c>
      <c r="DE21" s="188">
        <f t="shared" si="316"/>
        <v>-0.3</v>
      </c>
      <c r="DF21" s="188">
        <f t="shared" si="317"/>
        <v>-0.3</v>
      </c>
      <c r="DG21" s="188">
        <f t="shared" si="318"/>
        <v>-0.3</v>
      </c>
      <c r="DH21" s="188">
        <f t="shared" si="319"/>
        <v>-0.3</v>
      </c>
      <c r="DI21" s="188">
        <f t="shared" si="320"/>
        <v>-0.3</v>
      </c>
      <c r="DJ21" s="188">
        <f t="shared" si="321"/>
        <v>-0.3</v>
      </c>
      <c r="DK21" s="188">
        <f t="shared" si="322"/>
        <v>-0.3</v>
      </c>
      <c r="DL21" s="188">
        <f t="shared" si="323"/>
        <v>-0.3</v>
      </c>
      <c r="DM21" s="188">
        <f t="shared" si="324"/>
        <v>-0.3</v>
      </c>
      <c r="DN21" s="189">
        <f>IF(L21-$G21&lt;0,0,L21-$G21)</f>
        <v>0.45000000000000018</v>
      </c>
      <c r="DO21" s="189">
        <f t="shared" si="326"/>
        <v>0</v>
      </c>
      <c r="DP21" s="189">
        <f t="shared" si="327"/>
        <v>0</v>
      </c>
      <c r="DQ21" s="189">
        <f t="shared" si="328"/>
        <v>0</v>
      </c>
      <c r="DR21" s="189">
        <f t="shared" si="329"/>
        <v>0</v>
      </c>
      <c r="DS21" s="189">
        <f t="shared" si="330"/>
        <v>0</v>
      </c>
      <c r="DT21" s="189">
        <f t="shared" si="331"/>
        <v>0</v>
      </c>
      <c r="DU21" s="189">
        <f t="shared" si="332"/>
        <v>0</v>
      </c>
      <c r="DV21" s="189">
        <f t="shared" si="333"/>
        <v>0</v>
      </c>
      <c r="DW21" s="189">
        <f t="shared" si="334"/>
        <v>0</v>
      </c>
      <c r="DX21" s="54"/>
      <c r="DY21" s="54"/>
      <c r="DZ21" s="199">
        <f t="shared" ca="1" si="237"/>
        <v>101664.95296671492</v>
      </c>
      <c r="EA21" s="200">
        <f t="shared" si="335"/>
        <v>1</v>
      </c>
      <c r="EB21" s="201">
        <f t="shared" ca="1" si="238"/>
        <v>38419.925333092608</v>
      </c>
      <c r="EC21" s="200">
        <f t="shared" si="336"/>
        <v>1</v>
      </c>
      <c r="ED21" s="201" cm="1">
        <f t="array" ref="ED21">IF(LEFT($AG21,3)="Res",IF(OR($DN21&gt;External_Threshold,$DD21&gt;0),1*Uplift*AWE*(External),0),0)</f>
        <v>15481.186685962373</v>
      </c>
      <c r="EE21" s="200">
        <f t="shared" si="337"/>
        <v>1</v>
      </c>
      <c r="EF21" s="201">
        <f t="shared" si="239"/>
        <v>0</v>
      </c>
      <c r="EG21" s="203">
        <f t="shared" si="338"/>
        <v>0</v>
      </c>
      <c r="EH21" s="199">
        <f t="shared" ca="1" si="240"/>
        <v>0</v>
      </c>
      <c r="EI21" s="200">
        <f t="shared" si="241"/>
        <v>0</v>
      </c>
      <c r="EJ21" s="201">
        <f t="shared" ca="1" si="242"/>
        <v>0</v>
      </c>
      <c r="EK21" s="200">
        <f t="shared" si="243"/>
        <v>0</v>
      </c>
      <c r="EL21" s="201" cm="1">
        <f t="array" ref="EL21">IF(LEFT($AG21,3)="Res",IF(OR($DO21&gt;External_Threshold,$DE21&gt;0),1*Uplift*AWE*(External),0),0)</f>
        <v>0</v>
      </c>
      <c r="EM21" s="200">
        <f t="shared" si="244"/>
        <v>0</v>
      </c>
      <c r="EN21" s="201">
        <f t="shared" si="245"/>
        <v>0</v>
      </c>
      <c r="EO21" s="203">
        <f t="shared" si="339"/>
        <v>0</v>
      </c>
      <c r="EP21" s="199">
        <f t="shared" ca="1" si="246"/>
        <v>0</v>
      </c>
      <c r="EQ21" s="200">
        <f t="shared" si="247"/>
        <v>0</v>
      </c>
      <c r="ER21" s="201">
        <f t="shared" ca="1" si="248"/>
        <v>0</v>
      </c>
      <c r="ES21" s="200">
        <f t="shared" si="249"/>
        <v>0</v>
      </c>
      <c r="ET21" s="201" cm="1">
        <f t="array" ref="ET21">IF(LEFT($AG21,3)="Res",IF(OR($DP21&gt;External_Threshold,$DF21&gt;0),1*Uplift*AWE*(External),0),0)</f>
        <v>0</v>
      </c>
      <c r="EU21" s="200">
        <f t="shared" si="250"/>
        <v>0</v>
      </c>
      <c r="EV21" s="201">
        <f t="shared" si="251"/>
        <v>0</v>
      </c>
      <c r="EW21" s="203">
        <f t="shared" si="340"/>
        <v>0</v>
      </c>
      <c r="EX21" s="199">
        <f t="shared" ca="1" si="252"/>
        <v>0</v>
      </c>
      <c r="EY21" s="200">
        <f t="shared" si="253"/>
        <v>0</v>
      </c>
      <c r="EZ21" s="201">
        <f t="shared" ca="1" si="254"/>
        <v>0</v>
      </c>
      <c r="FA21" s="200">
        <f t="shared" si="255"/>
        <v>0</v>
      </c>
      <c r="FB21" s="201" cm="1">
        <f t="array" ref="FB21">IF(LEFT($AG21,3)="Res",IF(OR($DQ21&gt;External_Threshold,$DG21&gt;0),1*Uplift*AWE*(External),0),0)</f>
        <v>0</v>
      </c>
      <c r="FC21" s="200">
        <f t="shared" si="256"/>
        <v>0</v>
      </c>
      <c r="FD21" s="201">
        <f t="shared" si="257"/>
        <v>0</v>
      </c>
      <c r="FE21" s="203">
        <f t="shared" si="341"/>
        <v>0</v>
      </c>
      <c r="FF21" s="199">
        <f t="shared" ca="1" si="258"/>
        <v>0</v>
      </c>
      <c r="FG21" s="200">
        <f t="shared" si="259"/>
        <v>0</v>
      </c>
      <c r="FH21" s="201">
        <f t="shared" ca="1" si="260"/>
        <v>0</v>
      </c>
      <c r="FI21" s="200">
        <f t="shared" si="261"/>
        <v>0</v>
      </c>
      <c r="FJ21" s="201" cm="1">
        <f t="array" ref="FJ21">IF(LEFT($AG21,3)="Res",IF(OR($DR21&gt;External_Threshold,$DH21&gt;0),1*Uplift*AWE*(External),0),0)</f>
        <v>0</v>
      </c>
      <c r="FK21" s="200">
        <f t="shared" si="262"/>
        <v>0</v>
      </c>
      <c r="FL21" s="201">
        <f t="shared" si="263"/>
        <v>0</v>
      </c>
      <c r="FM21" s="203">
        <f t="shared" si="342"/>
        <v>0</v>
      </c>
      <c r="FN21" s="199">
        <f t="shared" ca="1" si="264"/>
        <v>0</v>
      </c>
      <c r="FO21" s="200">
        <f t="shared" si="265"/>
        <v>0</v>
      </c>
      <c r="FP21" s="201">
        <f t="shared" ca="1" si="266"/>
        <v>0</v>
      </c>
      <c r="FQ21" s="200">
        <f t="shared" si="267"/>
        <v>0</v>
      </c>
      <c r="FR21" s="201" cm="1">
        <f t="array" ref="FR21">IF(LEFT($AG21,3)="Res",IF(OR($DS21&gt;External_Threshold,$DI21&gt;0),1*Uplift*AWE*(External),0),0)</f>
        <v>0</v>
      </c>
      <c r="FS21" s="200">
        <f t="shared" si="268"/>
        <v>0</v>
      </c>
      <c r="FT21" s="201">
        <f t="shared" si="269"/>
        <v>0</v>
      </c>
      <c r="FU21" s="203">
        <f t="shared" si="343"/>
        <v>0</v>
      </c>
      <c r="FV21" s="199">
        <f t="shared" ca="1" si="270"/>
        <v>0</v>
      </c>
      <c r="FW21" s="200">
        <f t="shared" si="271"/>
        <v>0</v>
      </c>
      <c r="FX21" s="201">
        <f t="shared" ca="1" si="272"/>
        <v>0</v>
      </c>
      <c r="FY21" s="200">
        <f t="shared" si="273"/>
        <v>0</v>
      </c>
      <c r="FZ21" s="201" cm="1">
        <f t="array" ref="FZ21">IF(LEFT($AG21,3)="Res",IF(OR($DT21&gt;External_Threshold,$DJ21&gt;0),1*Uplift*AWE*(External),0),0)</f>
        <v>0</v>
      </c>
      <c r="GA21" s="200">
        <f t="shared" si="274"/>
        <v>0</v>
      </c>
      <c r="GB21" s="201">
        <f t="shared" si="275"/>
        <v>0</v>
      </c>
      <c r="GC21" s="203">
        <f t="shared" si="344"/>
        <v>0</v>
      </c>
      <c r="GD21" s="199">
        <f t="shared" ca="1" si="276"/>
        <v>0</v>
      </c>
      <c r="GE21" s="200">
        <f t="shared" si="277"/>
        <v>0</v>
      </c>
      <c r="GF21" s="201">
        <f t="shared" ca="1" si="278"/>
        <v>0</v>
      </c>
      <c r="GG21" s="200">
        <f t="shared" si="279"/>
        <v>0</v>
      </c>
      <c r="GH21" s="201" cm="1">
        <f t="array" ref="GH21">IF(LEFT($AG21,3)="Res",IF(OR($DU21&gt;External_Threshold,$DK21&gt;0),1*Uplift*AWE*(External),0),0)</f>
        <v>0</v>
      </c>
      <c r="GI21" s="200">
        <f t="shared" si="280"/>
        <v>0</v>
      </c>
      <c r="GJ21" s="201">
        <f t="shared" si="281"/>
        <v>0</v>
      </c>
      <c r="GK21" s="203">
        <f t="shared" si="345"/>
        <v>0</v>
      </c>
      <c r="GL21" s="199">
        <f t="shared" ca="1" si="282"/>
        <v>0</v>
      </c>
      <c r="GM21" s="200">
        <f t="shared" si="283"/>
        <v>0</v>
      </c>
      <c r="GN21" s="201">
        <f t="shared" ca="1" si="284"/>
        <v>0</v>
      </c>
      <c r="GO21" s="200">
        <f t="shared" si="285"/>
        <v>0</v>
      </c>
      <c r="GP21" s="201" cm="1">
        <f t="array" ref="GP21">IF(LEFT($AG21,3)="Res",IF(OR($DV21&gt;External_Threshold,$DL21&gt;0),1*Uplift*AWE*(External),0),0)</f>
        <v>0</v>
      </c>
      <c r="GQ21" s="200">
        <f t="shared" si="286"/>
        <v>0</v>
      </c>
      <c r="GR21" s="201">
        <f t="shared" si="287"/>
        <v>0</v>
      </c>
      <c r="GS21" s="203">
        <f t="shared" si="346"/>
        <v>0</v>
      </c>
      <c r="GT21" s="199">
        <f t="shared" ca="1" si="288"/>
        <v>0</v>
      </c>
      <c r="GU21" s="200">
        <f t="shared" si="289"/>
        <v>0</v>
      </c>
      <c r="GV21" s="201">
        <f t="shared" ca="1" si="290"/>
        <v>0</v>
      </c>
      <c r="GW21" s="200">
        <f t="shared" si="291"/>
        <v>0</v>
      </c>
      <c r="GX21" s="201" cm="1">
        <f t="array" ref="GX21">IF(LEFT($AG21,3)="Res",IF(OR($DW21&gt;External_Threshold,$DM21&gt;0),1*Uplift*AWE*(External),0),0)</f>
        <v>0</v>
      </c>
      <c r="GY21" s="200">
        <f t="shared" si="292"/>
        <v>0</v>
      </c>
      <c r="GZ21" s="201">
        <f t="shared" si="293"/>
        <v>0</v>
      </c>
      <c r="HA21" s="203">
        <f t="shared" si="347"/>
        <v>0</v>
      </c>
      <c r="HB21" s="54"/>
      <c r="HC21" s="54"/>
      <c r="HD21" s="54"/>
      <c r="HE21" s="54"/>
      <c r="HF21" s="54"/>
      <c r="HG21" s="201">
        <f t="shared" ca="1" si="348"/>
        <v>155566.06498576989</v>
      </c>
      <c r="HH21" s="201">
        <f t="shared" ca="1" si="349"/>
        <v>0</v>
      </c>
      <c r="HI21" s="201">
        <f t="shared" ca="1" si="350"/>
        <v>0</v>
      </c>
      <c r="HJ21" s="201">
        <f t="shared" ca="1" si="351"/>
        <v>0</v>
      </c>
      <c r="HK21" s="201">
        <f t="shared" ca="1" si="352"/>
        <v>0</v>
      </c>
      <c r="HL21" s="201">
        <f t="shared" ca="1" si="353"/>
        <v>0</v>
      </c>
      <c r="HM21" s="201">
        <f t="shared" ca="1" si="354"/>
        <v>0</v>
      </c>
      <c r="HN21" s="201">
        <f t="shared" ca="1" si="355"/>
        <v>0</v>
      </c>
      <c r="HO21" s="201">
        <f t="shared" ca="1" si="356"/>
        <v>0</v>
      </c>
      <c r="HP21" s="201">
        <f t="shared" ca="1" si="357"/>
        <v>0</v>
      </c>
      <c r="HQ21" s="54"/>
    </row>
    <row r="22" spans="1:228" x14ac:dyDescent="0.3">
      <c r="A22" s="513">
        <v>4</v>
      </c>
      <c r="B22" s="514" t="s">
        <v>212</v>
      </c>
      <c r="C22" s="514" t="s">
        <v>390</v>
      </c>
      <c r="D22" s="514" t="s">
        <v>390</v>
      </c>
      <c r="E22" s="513">
        <v>1</v>
      </c>
      <c r="F22" s="515">
        <v>7.13</v>
      </c>
      <c r="G22" s="515">
        <v>6.92</v>
      </c>
      <c r="H22" s="516">
        <v>2</v>
      </c>
      <c r="I22" s="517">
        <v>1</v>
      </c>
      <c r="J22" s="518" t="s">
        <v>295</v>
      </c>
      <c r="K22" s="513">
        <f t="shared" si="204"/>
        <v>220</v>
      </c>
      <c r="L22" s="519">
        <v>7.74</v>
      </c>
      <c r="M22" s="519">
        <v>6.6999999999999993</v>
      </c>
      <c r="N22" s="519">
        <v>6.3999999999999995</v>
      </c>
      <c r="O22" s="519">
        <v>6.1</v>
      </c>
      <c r="P22" s="519">
        <v>5.6</v>
      </c>
      <c r="Q22" s="519">
        <v>5.0999999999999996</v>
      </c>
      <c r="R22" s="519">
        <v>4.3</v>
      </c>
      <c r="S22" s="519">
        <v>0</v>
      </c>
      <c r="T22" s="519">
        <v>0</v>
      </c>
      <c r="U22" s="519">
        <v>0</v>
      </c>
      <c r="V22" s="536"/>
      <c r="W22" s="536"/>
      <c r="X22" s="536"/>
      <c r="Y22" s="536"/>
      <c r="Z22" s="536"/>
      <c r="AA22" s="536"/>
      <c r="AB22" s="536"/>
      <c r="AC22" s="536"/>
      <c r="AD22" s="536"/>
      <c r="AE22" s="536"/>
      <c r="AF22" s="54"/>
      <c r="AG22" s="204" t="str">
        <f>IF(AND($H22&lt;=4),"Res","Com")&amp;IF($H22=3,1,IF($H22=4,2,IF($H22&gt;4,1,IF($E22&lt;=1,1,2))))</f>
        <v>Res1</v>
      </c>
      <c r="AH22" s="204">
        <f t="shared" si="294"/>
        <v>6</v>
      </c>
      <c r="AI22" s="204">
        <f t="shared" si="205"/>
        <v>1</v>
      </c>
      <c r="AJ22" s="54"/>
      <c r="AK22" s="74">
        <f>IFERROR(IF(H22&gt;4,0,AI22*Inputs!$C$55),0)</f>
        <v>2.6</v>
      </c>
      <c r="AL22" s="81">
        <f>IFERROR(Inputs!$C$73,0)</f>
        <v>5</v>
      </c>
      <c r="AM22" s="211">
        <f>IFERROR(Inputs!$C$74,0)</f>
        <v>0.24299999999999999</v>
      </c>
      <c r="AN22" s="446">
        <f>IFERROR(HLOOKUP(HLOOKUP(AN$17,$V$18:$AE22,COUNTA($AK$18:$AK22),FALSE),Inputs!$B$58:$H$59,2,FALSE),0)</f>
        <v>0</v>
      </c>
      <c r="AO22" s="447">
        <f t="shared" si="295"/>
        <v>0</v>
      </c>
      <c r="AP22" s="447">
        <f t="shared" si="296"/>
        <v>0</v>
      </c>
      <c r="AQ22" s="446">
        <f>IFERROR(HLOOKUP(HLOOKUP(AQ$17,$V$18:$AE22,COUNTA($AK$18:$AK22),FALSE),Inputs!$B$58:$H$59,2,FALSE),0)</f>
        <v>0</v>
      </c>
      <c r="AR22" s="447">
        <f t="shared" ref="AR22" si="367">2*$AK22*AQ22*$AL22/100*$AM22</f>
        <v>0</v>
      </c>
      <c r="AS22" s="447">
        <f t="shared" si="298"/>
        <v>0</v>
      </c>
      <c r="AT22" s="446">
        <f>IFERROR(HLOOKUP(HLOOKUP(AT$17,$V$18:$AE22,COUNTA($AK$18:$AK22),FALSE),Inputs!$B$58:$H$59,2,FALSE),0)</f>
        <v>0</v>
      </c>
      <c r="AU22" s="447">
        <f t="shared" ref="AU22" si="368">2*$AK22*AT22*$AL22/100*$AM22</f>
        <v>0</v>
      </c>
      <c r="AV22" s="447">
        <f t="shared" si="300"/>
        <v>0</v>
      </c>
      <c r="AW22" s="446">
        <f>IFERROR(HLOOKUP(HLOOKUP(AW$17,$V$18:$AE22,COUNTA($AK$18:$AK22),FALSE),Inputs!$B$58:$H$59,2,FALSE),0)</f>
        <v>0</v>
      </c>
      <c r="AX22" s="447">
        <f t="shared" ref="AX22" si="369">2*$AK22*AW22*$AL22/100*$AM22</f>
        <v>0</v>
      </c>
      <c r="AY22" s="447">
        <f t="shared" si="302"/>
        <v>0</v>
      </c>
      <c r="AZ22" s="446">
        <f>IFERROR(HLOOKUP(HLOOKUP(AZ$17,$V$18:$AE22,COUNTA($AK$18:$AK22),FALSE),Inputs!$B$58:$H$59,2,FALSE),0)</f>
        <v>0</v>
      </c>
      <c r="BA22" s="447">
        <f t="shared" ref="BA22" si="370">2*$AK22*AZ22*$AL22/100*$AM22</f>
        <v>0</v>
      </c>
      <c r="BB22" s="447">
        <f t="shared" si="304"/>
        <v>0</v>
      </c>
      <c r="BC22" s="446">
        <f>IFERROR(HLOOKUP(HLOOKUP(BC$17,$V$18:$AE22,COUNTA($AK$18:$AK22),FALSE),Inputs!$B$58:$H$59,2,FALSE),0)</f>
        <v>0</v>
      </c>
      <c r="BD22" s="447">
        <f t="shared" ref="BD22" si="371">2*$AK22*BC22*$AL22/100*$AM22</f>
        <v>0</v>
      </c>
      <c r="BE22" s="447">
        <f t="shared" si="306"/>
        <v>0</v>
      </c>
      <c r="BF22" s="446">
        <f>IFERROR(HLOOKUP(HLOOKUP(BF$17,$V$18:$AE22,COUNTA($AK$18:$AK22),FALSE),Inputs!$B$58:$H$59,2,FALSE),0)</f>
        <v>0</v>
      </c>
      <c r="BG22" s="447">
        <f t="shared" ref="BG22" si="372">2*$AK22*BF22*$AL22/100*$AM22</f>
        <v>0</v>
      </c>
      <c r="BH22" s="447">
        <f t="shared" si="308"/>
        <v>0</v>
      </c>
      <c r="BI22" s="446">
        <f>IFERROR(HLOOKUP(HLOOKUP(BI$17,$V$18:$AE22,COUNTA($AK$18:$AK22),FALSE),Inputs!$B$58:$H$59,2,FALSE),0)</f>
        <v>0</v>
      </c>
      <c r="BJ22" s="447">
        <f t="shared" ref="BJ22" si="373">2*$AK22*BI22*$AL22/100*$AM22</f>
        <v>0</v>
      </c>
      <c r="BK22" s="447">
        <f t="shared" si="310"/>
        <v>0</v>
      </c>
      <c r="BL22" s="446">
        <f>IFERROR(HLOOKUP(HLOOKUP(BL$17,$V$18:$AE22,COUNTA($AK$18:$AK22),FALSE),Inputs!$B$58:$H$59,2,FALSE),0)</f>
        <v>0</v>
      </c>
      <c r="BM22" s="447">
        <f t="shared" ref="BM22" si="374">2*$AK22*BL22*$AL22/100*$AM22</f>
        <v>0</v>
      </c>
      <c r="BN22" s="447">
        <f t="shared" si="312"/>
        <v>0</v>
      </c>
      <c r="BO22" s="446">
        <f>IFERROR(HLOOKUP(HLOOKUP(BO$17,$V$18:$AE22,COUNTA($AK$18:$AK22),FALSE),Inputs!$B$58:$H$59,2,FALSE),0)</f>
        <v>0</v>
      </c>
      <c r="BP22" s="447">
        <f t="shared" ref="BP22" si="375">2*$AK22*BO22*$AL22/100*$AM22</f>
        <v>0</v>
      </c>
      <c r="BQ22" s="447">
        <f t="shared" si="314"/>
        <v>0</v>
      </c>
      <c r="BR22" s="54"/>
      <c r="BS22" s="103">
        <f t="shared" ca="1" si="224"/>
        <v>110.47591555716353</v>
      </c>
      <c r="BT22" s="103">
        <f ca="1">+($U$10-$T$10)*(($GV22)+($GN22))/2+($T$10-$S$10)*(($GN22)+($GF22))/2+($S$10-$R$10)*(($GF22)+($FX22))/2+($R$10-$Q$10)*(($FX22)+($FP22))/2+($Q$10-$P$10)*(($FP22)+($FH22))/2+($P$10-$O$10)*(($FH22)+($EZ22))/2+($O$10-$N$10)*(($EZ22)+($ER22))/2+($N$10-$M$10)*(($ER22)+($EJ22))/2+($M$10-$L$10)*(($EJ22)+($EB22))/2</f>
        <v>83.402716969301565</v>
      </c>
      <c r="BU22" s="103">
        <f>+($U$10-$T$10)*(($GX22)+($GP22))/2+($T$10-$S$10)*(($GP22)+($GH22))/2+($S$10-$R$10)*(($GH22)+($FZ22))/2+($R$10-$Q$10)*(($FZ22)+($FR22))/2+($Q$10-$P$10)*(($FR22)+($FJ22))/2+($P$10-$O$10)*(($FJ22)+($FB22))/2+($O$10-$N$10)*(($FB22)+($ET22))/2+($N$10-$M$10)*(($ET22)+($EL22))/2+($M$10-$L$10)*(($EL22)+($ED22))/2</f>
        <v>15.403780752532562</v>
      </c>
      <c r="BV22" s="103">
        <f>+($U$10-$T$10)*(($GZ22)+($GR22))/2+($T$10-$S$10)*(($GR22)+($GJ22))/2+($S$10-$R$10)*(($GJ22)+($GB22))/2+($R$10-$Q$10)*(($GB22)+($FT22))/2+($Q$10-$P$10)*(($FT22)+($FL22))/2+($P$10-$O$10)*(($FL22)+($FD22))/2+($O$10-$N$10)*(($FD22)+($EV22))/2+($N$10-$M$10)*(($EV22)+($EN22))/2+($M$10-$L$10)*(($EN22)+($EF22))/2</f>
        <v>0</v>
      </c>
      <c r="BW22" s="152">
        <f ca="1">SUM(BS22,BT22,BU22,BV22)</f>
        <v>209.28241327899764</v>
      </c>
      <c r="BX22" s="441"/>
      <c r="BY22" s="96" t="str">
        <f>TEXT($M$10,"0.0%")&amp;" AEP"</f>
        <v>0.2% AEP</v>
      </c>
      <c r="BZ22" s="355">
        <f t="shared" ref="BZ22" si="376">SUM(BZ23:BZ24)</f>
        <v>74</v>
      </c>
      <c r="CA22" s="92">
        <f t="shared" ref="CA22" si="377">MAX(CA23:CA24)</f>
        <v>2.8199999999999994</v>
      </c>
      <c r="CB22" s="93">
        <f ca="1">$EH$15</f>
        <v>9021883.8121441137</v>
      </c>
      <c r="CC22" s="93">
        <f ca="1">$EH$14</f>
        <v>121917.3488127583</v>
      </c>
      <c r="CD22" s="54"/>
      <c r="CE22" s="96" t="str">
        <f>TEXT($M$10,"0.0%")&amp;" AEP"</f>
        <v>0.2% AEP</v>
      </c>
      <c r="CF22" s="355">
        <f t="shared" ref="CF22" si="378">SUM(CF23:CF24)</f>
        <v>74</v>
      </c>
      <c r="CG22" s="92">
        <f t="shared" ref="CG22" si="379">MAX(CG23:CG24)</f>
        <v>2.8199999999999994</v>
      </c>
      <c r="CH22" s="93">
        <f ca="1">$EJ$15</f>
        <v>4983677.3758379798</v>
      </c>
      <c r="CI22" s="93">
        <f ca="1">$EJ$14</f>
        <v>67346.991565378106</v>
      </c>
      <c r="CJ22" s="54"/>
      <c r="CK22" s="96" t="str">
        <f>TEXT($M$10,"0.0%")&amp;" AEP"</f>
        <v>0.2% AEP</v>
      </c>
      <c r="CL22" s="355">
        <f t="shared" ref="CL22" si="380">SUM(CL23:CL24)</f>
        <v>99</v>
      </c>
      <c r="CM22" s="92">
        <f t="shared" ref="CM22" si="381">MAX(CM23:CM24)</f>
        <v>3.4299999999999997</v>
      </c>
      <c r="CN22" s="93">
        <f>$EL$15</f>
        <v>1192051.3748191027</v>
      </c>
      <c r="CO22" s="93">
        <f>$EL$14</f>
        <v>12040.922977970735</v>
      </c>
      <c r="CP22" s="54"/>
      <c r="CQ22" s="96" t="str">
        <f>TEXT($M$10,"0.0%")&amp;" AEP"</f>
        <v>0.2% AEP</v>
      </c>
      <c r="CR22" s="355">
        <f t="shared" ref="CR22" si="382">SUM(CR23:CR24)</f>
        <v>74</v>
      </c>
      <c r="CS22" s="92">
        <f t="shared" ref="CS22" si="383">MAX(CS23:CS24)</f>
        <v>2.8199999999999994</v>
      </c>
      <c r="CT22" s="93">
        <f>$EN$15</f>
        <v>0</v>
      </c>
      <c r="CU22" s="93" t="str">
        <f>$EN$14</f>
        <v>--</v>
      </c>
      <c r="CV22" s="54"/>
      <c r="CW22" s="96" t="str">
        <f>TEXT($M$10,"0.0%")&amp;" AEP"</f>
        <v>0.2% AEP</v>
      </c>
      <c r="CX22" s="355">
        <f t="shared" ref="CX22" si="384">SUM(CX23:CX24)</f>
        <v>74</v>
      </c>
      <c r="CY22" s="92">
        <f t="shared" ref="CY22" si="385">MAX(CY23:CY24)</f>
        <v>2.8199999999999994</v>
      </c>
      <c r="CZ22" s="93">
        <f ca="1">SUM(DetailedStructural[[#This Row],[Total Damages]],DetailedInternal[[#This Row],[Total Damages]],DetailedExternal[[#This Row],[Total Damages]],DetailedRiskToLife[[#This Row],[Total Damages]])</f>
        <v>15197612.562801197</v>
      </c>
      <c r="DA22" s="93">
        <f ca="1">SUM(DetailedStructural[[#This Row],[AAD per Property]],DetailedInternal[[#This Row],[AAD per Property]],DetailedExternal[[#This Row],[AAD per Property]],DetailedRiskToLife[[#This Row],[AAD per Property]])</f>
        <v>201305.26335610714</v>
      </c>
      <c r="DB22" s="54"/>
      <c r="DC22" s="54"/>
      <c r="DD22" s="188">
        <f t="shared" si="315"/>
        <v>0.61000000000000032</v>
      </c>
      <c r="DE22" s="188">
        <f t="shared" si="316"/>
        <v>-0.3</v>
      </c>
      <c r="DF22" s="188">
        <f t="shared" si="317"/>
        <v>-0.3</v>
      </c>
      <c r="DG22" s="188">
        <f t="shared" si="318"/>
        <v>-0.3</v>
      </c>
      <c r="DH22" s="188">
        <f t="shared" si="319"/>
        <v>-0.3</v>
      </c>
      <c r="DI22" s="188">
        <f t="shared" si="320"/>
        <v>-0.3</v>
      </c>
      <c r="DJ22" s="188">
        <f t="shared" si="321"/>
        <v>-0.3</v>
      </c>
      <c r="DK22" s="188">
        <f t="shared" si="322"/>
        <v>-0.3</v>
      </c>
      <c r="DL22" s="188">
        <f t="shared" si="323"/>
        <v>-0.3</v>
      </c>
      <c r="DM22" s="188">
        <f t="shared" si="324"/>
        <v>-0.3</v>
      </c>
      <c r="DN22" s="189">
        <f t="shared" si="325"/>
        <v>0.82000000000000028</v>
      </c>
      <c r="DO22" s="189">
        <f t="shared" si="326"/>
        <v>0</v>
      </c>
      <c r="DP22" s="189">
        <f t="shared" si="327"/>
        <v>0</v>
      </c>
      <c r="DQ22" s="189">
        <f t="shared" si="328"/>
        <v>0</v>
      </c>
      <c r="DR22" s="189">
        <f t="shared" si="329"/>
        <v>0</v>
      </c>
      <c r="DS22" s="189">
        <f t="shared" si="330"/>
        <v>0</v>
      </c>
      <c r="DT22" s="189">
        <f t="shared" si="331"/>
        <v>0</v>
      </c>
      <c r="DU22" s="189">
        <f t="shared" si="332"/>
        <v>0</v>
      </c>
      <c r="DV22" s="189">
        <f t="shared" si="333"/>
        <v>0</v>
      </c>
      <c r="DW22" s="189">
        <f t="shared" si="334"/>
        <v>0</v>
      </c>
      <c r="DX22" s="54"/>
      <c r="DY22" s="54"/>
      <c r="DZ22" s="199">
        <f t="shared" ca="1" si="237"/>
        <v>111031.07091172214</v>
      </c>
      <c r="EA22" s="200">
        <f t="shared" si="335"/>
        <v>1</v>
      </c>
      <c r="EB22" s="201">
        <f t="shared" ca="1" si="238"/>
        <v>83821.826099800572</v>
      </c>
      <c r="EC22" s="200">
        <f t="shared" si="336"/>
        <v>1</v>
      </c>
      <c r="ED22" s="201" cm="1">
        <f t="array" ref="ED22">IF(LEFT($AG22,3)="Res",IF(OR($DN22&gt;External_Threshold,$DD22&gt;0),1*Uplift*AWE*(External),0),0)</f>
        <v>15481.186685962373</v>
      </c>
      <c r="EE22" s="200">
        <f t="shared" si="337"/>
        <v>1</v>
      </c>
      <c r="EF22" s="201">
        <f t="shared" si="239"/>
        <v>0</v>
      </c>
      <c r="EG22" s="203">
        <f t="shared" si="338"/>
        <v>0</v>
      </c>
      <c r="EH22" s="199">
        <f t="shared" ca="1" si="240"/>
        <v>0</v>
      </c>
      <c r="EI22" s="200">
        <f t="shared" si="241"/>
        <v>0</v>
      </c>
      <c r="EJ22" s="201">
        <f t="shared" ca="1" si="242"/>
        <v>0</v>
      </c>
      <c r="EK22" s="200">
        <f t="shared" si="243"/>
        <v>0</v>
      </c>
      <c r="EL22" s="201" cm="1">
        <f t="array" ref="EL22">IF(LEFT($AG22,3)="Res",IF(OR($DO22&gt;External_Threshold,$DE22&gt;0),1*Uplift*AWE*(External),0),0)</f>
        <v>0</v>
      </c>
      <c r="EM22" s="200">
        <f t="shared" si="244"/>
        <v>0</v>
      </c>
      <c r="EN22" s="201">
        <f t="shared" si="245"/>
        <v>0</v>
      </c>
      <c r="EO22" s="203">
        <f t="shared" si="339"/>
        <v>0</v>
      </c>
      <c r="EP22" s="199">
        <f t="shared" ca="1" si="246"/>
        <v>0</v>
      </c>
      <c r="EQ22" s="200">
        <f t="shared" si="247"/>
        <v>0</v>
      </c>
      <c r="ER22" s="201">
        <f t="shared" ca="1" si="248"/>
        <v>0</v>
      </c>
      <c r="ES22" s="200">
        <f t="shared" si="249"/>
        <v>0</v>
      </c>
      <c r="ET22" s="201" cm="1">
        <f t="array" ref="ET22">IF(LEFT($AG22,3)="Res",IF(OR($DP22&gt;External_Threshold,$DF22&gt;0),1*Uplift*AWE*(External),0),0)</f>
        <v>0</v>
      </c>
      <c r="EU22" s="200">
        <f t="shared" si="250"/>
        <v>0</v>
      </c>
      <c r="EV22" s="201">
        <f t="shared" si="251"/>
        <v>0</v>
      </c>
      <c r="EW22" s="203">
        <f t="shared" si="340"/>
        <v>0</v>
      </c>
      <c r="EX22" s="199">
        <f t="shared" ca="1" si="252"/>
        <v>0</v>
      </c>
      <c r="EY22" s="200">
        <f t="shared" si="253"/>
        <v>0</v>
      </c>
      <c r="EZ22" s="201">
        <f t="shared" ca="1" si="254"/>
        <v>0</v>
      </c>
      <c r="FA22" s="200">
        <f t="shared" si="255"/>
        <v>0</v>
      </c>
      <c r="FB22" s="201" cm="1">
        <f t="array" ref="FB22">IF(LEFT($AG22,3)="Res",IF(OR($DQ22&gt;External_Threshold,$DG22&gt;0),1*Uplift*AWE*(External),0),0)</f>
        <v>0</v>
      </c>
      <c r="FC22" s="200">
        <f t="shared" si="256"/>
        <v>0</v>
      </c>
      <c r="FD22" s="201">
        <f t="shared" si="257"/>
        <v>0</v>
      </c>
      <c r="FE22" s="203">
        <f t="shared" si="341"/>
        <v>0</v>
      </c>
      <c r="FF22" s="199">
        <f t="shared" ca="1" si="258"/>
        <v>0</v>
      </c>
      <c r="FG22" s="200">
        <f t="shared" si="259"/>
        <v>0</v>
      </c>
      <c r="FH22" s="201">
        <f t="shared" ca="1" si="260"/>
        <v>0</v>
      </c>
      <c r="FI22" s="200">
        <f t="shared" si="261"/>
        <v>0</v>
      </c>
      <c r="FJ22" s="201" cm="1">
        <f t="array" ref="FJ22">IF(LEFT($AG22,3)="Res",IF(OR($DR22&gt;External_Threshold,$DH22&gt;0),1*Uplift*AWE*(External),0),0)</f>
        <v>0</v>
      </c>
      <c r="FK22" s="200">
        <f t="shared" si="262"/>
        <v>0</v>
      </c>
      <c r="FL22" s="201">
        <f>$AI22*Uplift*($BA22*Injury+$BB22*Fatality)*FG22</f>
        <v>0</v>
      </c>
      <c r="FM22" s="203">
        <f t="shared" si="342"/>
        <v>0</v>
      </c>
      <c r="FN22" s="199">
        <f t="shared" ca="1" si="264"/>
        <v>0</v>
      </c>
      <c r="FO22" s="200">
        <f t="shared" si="265"/>
        <v>0</v>
      </c>
      <c r="FP22" s="201">
        <f t="shared" ca="1" si="266"/>
        <v>0</v>
      </c>
      <c r="FQ22" s="200">
        <f t="shared" si="267"/>
        <v>0</v>
      </c>
      <c r="FR22" s="201" cm="1">
        <f t="array" ref="FR22">IF(LEFT($AG22,3)="Res",IF(OR($DS22&gt;External_Threshold,$DI22&gt;0),1*Uplift*AWE*(External),0),0)</f>
        <v>0</v>
      </c>
      <c r="FS22" s="200">
        <f t="shared" si="268"/>
        <v>0</v>
      </c>
      <c r="FT22" s="201">
        <f t="shared" si="269"/>
        <v>0</v>
      </c>
      <c r="FU22" s="203">
        <f t="shared" si="343"/>
        <v>0</v>
      </c>
      <c r="FV22" s="199">
        <f t="shared" ca="1" si="270"/>
        <v>0</v>
      </c>
      <c r="FW22" s="200">
        <f t="shared" si="271"/>
        <v>0</v>
      </c>
      <c r="FX22" s="201">
        <f t="shared" ca="1" si="272"/>
        <v>0</v>
      </c>
      <c r="FY22" s="200">
        <f t="shared" si="273"/>
        <v>0</v>
      </c>
      <c r="FZ22" s="201" cm="1">
        <f t="array" ref="FZ22">IF(LEFT($AG22,3)="Res",IF(OR($DT22&gt;External_Threshold,$DJ22&gt;0),1*Uplift*AWE*(External),0),0)</f>
        <v>0</v>
      </c>
      <c r="GA22" s="200">
        <f t="shared" si="274"/>
        <v>0</v>
      </c>
      <c r="GB22" s="201">
        <f t="shared" si="275"/>
        <v>0</v>
      </c>
      <c r="GC22" s="203">
        <f t="shared" si="344"/>
        <v>0</v>
      </c>
      <c r="GD22" s="199">
        <f t="shared" ca="1" si="276"/>
        <v>0</v>
      </c>
      <c r="GE22" s="200">
        <f t="shared" si="277"/>
        <v>0</v>
      </c>
      <c r="GF22" s="201">
        <f t="shared" ca="1" si="278"/>
        <v>0</v>
      </c>
      <c r="GG22" s="200">
        <f t="shared" si="279"/>
        <v>0</v>
      </c>
      <c r="GH22" s="201" cm="1">
        <f t="array" ref="GH22">IF(LEFT($AG22,3)="Res",IF(OR($DU22&gt;External_Threshold,$DK22&gt;0),1*Uplift*AWE*(External),0),0)</f>
        <v>0</v>
      </c>
      <c r="GI22" s="200">
        <f t="shared" si="280"/>
        <v>0</v>
      </c>
      <c r="GJ22" s="201">
        <f t="shared" si="281"/>
        <v>0</v>
      </c>
      <c r="GK22" s="203">
        <f t="shared" si="345"/>
        <v>0</v>
      </c>
      <c r="GL22" s="199">
        <f t="shared" ca="1" si="282"/>
        <v>0</v>
      </c>
      <c r="GM22" s="200">
        <f t="shared" si="283"/>
        <v>0</v>
      </c>
      <c r="GN22" s="201">
        <f t="shared" ca="1" si="284"/>
        <v>0</v>
      </c>
      <c r="GO22" s="200">
        <f t="shared" si="285"/>
        <v>0</v>
      </c>
      <c r="GP22" s="201" cm="1">
        <f t="array" ref="GP22">IF(LEFT($AG22,3)="Res",IF(OR($DV22&gt;External_Threshold,$DL22&gt;0),1*Uplift*AWE*(External),0),0)</f>
        <v>0</v>
      </c>
      <c r="GQ22" s="200">
        <f t="shared" si="286"/>
        <v>0</v>
      </c>
      <c r="GR22" s="201">
        <f t="shared" si="287"/>
        <v>0</v>
      </c>
      <c r="GS22" s="203">
        <f t="shared" si="346"/>
        <v>0</v>
      </c>
      <c r="GT22" s="199">
        <f t="shared" ca="1" si="288"/>
        <v>0</v>
      </c>
      <c r="GU22" s="200">
        <f t="shared" si="289"/>
        <v>0</v>
      </c>
      <c r="GV22" s="201">
        <f t="shared" ca="1" si="290"/>
        <v>0</v>
      </c>
      <c r="GW22" s="200">
        <f t="shared" si="291"/>
        <v>0</v>
      </c>
      <c r="GX22" s="201" cm="1">
        <f t="array" ref="GX22">IF(LEFT($AG22,3)="Res",IF(OR($DW22&gt;External_Threshold,$DM22&gt;0),1*Uplift*AWE*(External),0),0)</f>
        <v>0</v>
      </c>
      <c r="GY22" s="200">
        <f t="shared" si="292"/>
        <v>0</v>
      </c>
      <c r="GZ22" s="201">
        <f t="shared" si="293"/>
        <v>0</v>
      </c>
      <c r="HA22" s="203">
        <f t="shared" si="347"/>
        <v>0</v>
      </c>
      <c r="HB22" s="54"/>
      <c r="HC22" s="54"/>
      <c r="HD22" s="54"/>
      <c r="HE22" s="54"/>
      <c r="HF22" s="54"/>
      <c r="HG22" s="201">
        <f t="shared" ca="1" si="348"/>
        <v>210334.0836974851</v>
      </c>
      <c r="HH22" s="201">
        <f t="shared" ca="1" si="349"/>
        <v>0</v>
      </c>
      <c r="HI22" s="201">
        <f t="shared" ca="1" si="350"/>
        <v>0</v>
      </c>
      <c r="HJ22" s="201">
        <f t="shared" ca="1" si="351"/>
        <v>0</v>
      </c>
      <c r="HK22" s="201">
        <f t="shared" ca="1" si="352"/>
        <v>0</v>
      </c>
      <c r="HL22" s="201">
        <f t="shared" ca="1" si="353"/>
        <v>0</v>
      </c>
      <c r="HM22" s="201">
        <f t="shared" ca="1" si="354"/>
        <v>0</v>
      </c>
      <c r="HN22" s="201">
        <f t="shared" ca="1" si="355"/>
        <v>0</v>
      </c>
      <c r="HO22" s="201">
        <f t="shared" ca="1" si="356"/>
        <v>0</v>
      </c>
      <c r="HP22" s="201">
        <f t="shared" ca="1" si="357"/>
        <v>0</v>
      </c>
      <c r="HQ22" s="54"/>
    </row>
    <row r="23" spans="1:228" x14ac:dyDescent="0.3">
      <c r="A23" s="513">
        <v>5</v>
      </c>
      <c r="B23" s="514" t="s">
        <v>213</v>
      </c>
      <c r="C23" s="514" t="s">
        <v>390</v>
      </c>
      <c r="D23" s="514" t="s">
        <v>390</v>
      </c>
      <c r="E23" s="513">
        <v>1</v>
      </c>
      <c r="F23" s="515">
        <v>7.26</v>
      </c>
      <c r="G23" s="515">
        <v>6.96</v>
      </c>
      <c r="H23" s="513">
        <v>2</v>
      </c>
      <c r="I23" s="517">
        <v>1</v>
      </c>
      <c r="J23" s="518" t="s">
        <v>137</v>
      </c>
      <c r="K23" s="513">
        <f>IF(H23=$B$12,$P$15,IF(H23=$B$13,$Q$15,_xlfn.XLOOKUP(J23,$K$14:$Q$14,$K$15:$Q$15,$O$15)))</f>
        <v>160</v>
      </c>
      <c r="L23" s="519">
        <v>7.74</v>
      </c>
      <c r="M23" s="519">
        <v>6.6999999999999993</v>
      </c>
      <c r="N23" s="519">
        <v>6.3999999999999995</v>
      </c>
      <c r="O23" s="519">
        <v>6.1</v>
      </c>
      <c r="P23" s="519">
        <v>5.6</v>
      </c>
      <c r="Q23" s="519">
        <v>5.0999999999999996</v>
      </c>
      <c r="R23" s="519">
        <v>4.3</v>
      </c>
      <c r="S23" s="519">
        <v>0</v>
      </c>
      <c r="T23" s="519">
        <v>0</v>
      </c>
      <c r="U23" s="519">
        <v>0</v>
      </c>
      <c r="V23" s="536"/>
      <c r="W23" s="536"/>
      <c r="X23" s="536"/>
      <c r="Y23" s="536"/>
      <c r="Z23" s="536"/>
      <c r="AA23" s="536"/>
      <c r="AB23" s="536"/>
      <c r="AC23" s="536"/>
      <c r="AD23" s="536"/>
      <c r="AE23" s="536"/>
      <c r="AF23" s="54"/>
      <c r="AG23" s="204" t="str">
        <f t="shared" ref="AG23:AG26" si="386">IF(AND($H23&lt;=4),"Res","Com")&amp;IF($H23=3,1,IF($H23=4,2,IF($H23&gt;4,1,IF($E23&lt;=1,1,2))))</f>
        <v>Res1</v>
      </c>
      <c r="AH23" s="204">
        <f t="shared" si="294"/>
        <v>7</v>
      </c>
      <c r="AI23" s="204">
        <f t="shared" si="205"/>
        <v>1</v>
      </c>
      <c r="AJ23" s="54"/>
      <c r="AK23" s="74">
        <f>IFERROR(IF(H23&gt;4,0,AI23*Inputs!$C$55),0)</f>
        <v>2.6</v>
      </c>
      <c r="AL23" s="81">
        <f>IFERROR(Inputs!$C$73,0)</f>
        <v>5</v>
      </c>
      <c r="AM23" s="211">
        <f>IFERROR(Inputs!$C$74,0)</f>
        <v>0.24299999999999999</v>
      </c>
      <c r="AN23" s="446">
        <f>IFERROR(HLOOKUP(HLOOKUP(AN$17,$V$18:$AE23,COUNTA($AK$18:$AK23),FALSE),Inputs!$B$58:$H$59,2,FALSE),0)</f>
        <v>0</v>
      </c>
      <c r="AO23" s="447">
        <f t="shared" si="295"/>
        <v>0</v>
      </c>
      <c r="AP23" s="447">
        <f t="shared" si="296"/>
        <v>0</v>
      </c>
      <c r="AQ23" s="446">
        <f>IFERROR(HLOOKUP(HLOOKUP(AQ$17,$V$18:$AE23,COUNTA($AK$18:$AK23),FALSE),Inputs!$B$58:$H$59,2,FALSE),0)</f>
        <v>0</v>
      </c>
      <c r="AR23" s="447">
        <f t="shared" ref="AR23" si="387">2*$AK23*AQ23*$AL23/100*$AM23</f>
        <v>0</v>
      </c>
      <c r="AS23" s="447">
        <f t="shared" si="298"/>
        <v>0</v>
      </c>
      <c r="AT23" s="446">
        <f>IFERROR(HLOOKUP(HLOOKUP(AT$17,$V$18:$AE23,COUNTA($AK$18:$AK23),FALSE),Inputs!$B$58:$H$59,2,FALSE),0)</f>
        <v>0</v>
      </c>
      <c r="AU23" s="447">
        <f t="shared" ref="AU23" si="388">2*$AK23*AT23*$AL23/100*$AM23</f>
        <v>0</v>
      </c>
      <c r="AV23" s="447">
        <f t="shared" si="300"/>
        <v>0</v>
      </c>
      <c r="AW23" s="446">
        <f>IFERROR(HLOOKUP(HLOOKUP(AW$17,$V$18:$AE23,COUNTA($AK$18:$AK23),FALSE),Inputs!$B$58:$H$59,2,FALSE),0)</f>
        <v>0</v>
      </c>
      <c r="AX23" s="447">
        <f t="shared" ref="AX23" si="389">2*$AK23*AW23*$AL23/100*$AM23</f>
        <v>0</v>
      </c>
      <c r="AY23" s="447">
        <f t="shared" si="302"/>
        <v>0</v>
      </c>
      <c r="AZ23" s="446">
        <f>IFERROR(HLOOKUP(HLOOKUP(AZ$17,$V$18:$AE23,COUNTA($AK$18:$AK23),FALSE),Inputs!$B$58:$H$59,2,FALSE),0)</f>
        <v>0</v>
      </c>
      <c r="BA23" s="447">
        <f t="shared" ref="BA23" si="390">2*$AK23*AZ23*$AL23/100*$AM23</f>
        <v>0</v>
      </c>
      <c r="BB23" s="447">
        <f t="shared" si="304"/>
        <v>0</v>
      </c>
      <c r="BC23" s="446">
        <f>IFERROR(HLOOKUP(HLOOKUP(BC$17,$V$18:$AE23,COUNTA($AK$18:$AK23),FALSE),Inputs!$B$58:$H$59,2,FALSE),0)</f>
        <v>0</v>
      </c>
      <c r="BD23" s="447">
        <f t="shared" ref="BD23" si="391">2*$AK23*BC23*$AL23/100*$AM23</f>
        <v>0</v>
      </c>
      <c r="BE23" s="447">
        <f t="shared" si="306"/>
        <v>0</v>
      </c>
      <c r="BF23" s="446">
        <f>IFERROR(HLOOKUP(HLOOKUP(BF$17,$V$18:$AE23,COUNTA($AK$18:$AK23),FALSE),Inputs!$B$58:$H$59,2,FALSE),0)</f>
        <v>0</v>
      </c>
      <c r="BG23" s="447">
        <f t="shared" ref="BG23" si="392">2*$AK23*BF23*$AL23/100*$AM23</f>
        <v>0</v>
      </c>
      <c r="BH23" s="447">
        <f t="shared" si="308"/>
        <v>0</v>
      </c>
      <c r="BI23" s="446">
        <f>IFERROR(HLOOKUP(HLOOKUP(BI$17,$V$18:$AE23,COUNTA($AK$18:$AK23),FALSE),Inputs!$B$58:$H$59,2,FALSE),0)</f>
        <v>0</v>
      </c>
      <c r="BJ23" s="447">
        <f t="shared" ref="BJ23" si="393">2*$AK23*BI23*$AL23/100*$AM23</f>
        <v>0</v>
      </c>
      <c r="BK23" s="447">
        <f t="shared" si="310"/>
        <v>0</v>
      </c>
      <c r="BL23" s="446">
        <f>IFERROR(HLOOKUP(HLOOKUP(BL$17,$V$18:$AE23,COUNTA($AK$18:$AK23),FALSE),Inputs!$B$58:$H$59,2,FALSE),0)</f>
        <v>0</v>
      </c>
      <c r="BM23" s="447">
        <f t="shared" ref="BM23" si="394">2*$AK23*BL23*$AL23/100*$AM23</f>
        <v>0</v>
      </c>
      <c r="BN23" s="447">
        <f t="shared" si="312"/>
        <v>0</v>
      </c>
      <c r="BO23" s="446">
        <f>IFERROR(HLOOKUP(HLOOKUP(BO$17,$V$18:$AE23,COUNTA($AK$18:$AK23),FALSE),Inputs!$B$58:$H$59,2,FALSE),0)</f>
        <v>0</v>
      </c>
      <c r="BP23" s="447">
        <f t="shared" ref="BP23" si="395">2*$AK23*BO23*$AL23/100*$AM23</f>
        <v>0</v>
      </c>
      <c r="BQ23" s="447">
        <f t="shared" si="314"/>
        <v>0</v>
      </c>
      <c r="BR23" s="54"/>
      <c r="BS23" s="103">
        <f t="shared" ca="1" si="224"/>
        <v>99.405731789676793</v>
      </c>
      <c r="BT23" s="103">
        <f t="shared" ref="BT23:BT86" ca="1" si="396">+($U$10-$T$10)*(($GV23)+($GN23))/2+($T$10-$S$10)*(($GN23)+($GF23))/2+($S$10-$R$10)*(($GF23)+($FX23))/2+($R$10-$Q$10)*(($FX23)+($FP23))/2+($Q$10-$P$10)*(($FP23)+($FH23))/2+($P$10-$O$10)*(($FH23)+($EZ23))/2+($O$10-$N$10)*(($EZ23)+($ER23))/2+($N$10-$M$10)*(($ER23)+($EJ23))/2+($M$10-$L$10)*(($EJ23)+($EB23))/2</f>
        <v>72.00839359166909</v>
      </c>
      <c r="BU23" s="103">
        <f t="shared" ref="BU23:BU86" si="397">+($U$10-$T$10)*(($GX23)+($GP23))/2+($T$10-$S$10)*(($GP23)+($GH23))/2+($S$10-$R$10)*(($GH23)+($FZ23))/2+($R$10-$Q$10)*(($FZ23)+($FR23))/2+($Q$10-$P$10)*(($FR23)+($FJ23))/2+($P$10-$O$10)*(($FJ23)+($FB23))/2+($O$10-$N$10)*(($FB23)+($ET23))/2+($N$10-$M$10)*(($ET23)+($EL23))/2+($M$10-$L$10)*(($EL23)+($ED23))/2</f>
        <v>15.403780752532562</v>
      </c>
      <c r="BV23" s="103">
        <f t="shared" ref="BV23:BV86" si="398">+($U$10-$T$10)*(($GZ23)+($GR23))/2+($T$10-$S$10)*(($GR23)+($GJ23))/2+($S$10-$R$10)*(($GJ23)+($GB23))/2+($R$10-$Q$10)*(($GB23)+($FT23))/2+($Q$10-$P$10)*(($FT23)+($FL23))/2+($P$10-$O$10)*(($FL23)+($FD23))/2+($O$10-$N$10)*(($FD23)+($EV23))/2+($N$10-$M$10)*(($EV23)+($EN23))/2+($M$10-$L$10)*(($EN23)+($EF23))/2</f>
        <v>0</v>
      </c>
      <c r="BW23" s="152">
        <f t="shared" ref="BW23:BW86" ca="1" si="399">SUM(BS23,BT23,BU23,BV23)</f>
        <v>186.81790613387844</v>
      </c>
      <c r="BX23" s="441"/>
      <c r="BY23" s="94" t="s">
        <v>91</v>
      </c>
      <c r="BZ23" s="356">
        <f>$DE$9</f>
        <v>58</v>
      </c>
      <c r="CA23" s="95">
        <f>$DE$7</f>
        <v>2.8199999999999994</v>
      </c>
      <c r="CB23" s="79">
        <f ca="1">$EH$10</f>
        <v>5860561.360293054</v>
      </c>
      <c r="CC23" s="79">
        <f ca="1">$EH$9</f>
        <v>101044.161384363</v>
      </c>
      <c r="CD23" s="54"/>
      <c r="CE23" s="94" t="s">
        <v>91</v>
      </c>
      <c r="CF23" s="356">
        <f>$DE$9</f>
        <v>58</v>
      </c>
      <c r="CG23" s="95">
        <f>$DE$7</f>
        <v>2.8199999999999994</v>
      </c>
      <c r="CH23" s="79">
        <f ca="1">$EJ$10</f>
        <v>4530615.7962163454</v>
      </c>
      <c r="CI23" s="79">
        <f ca="1">$EJ$9</f>
        <v>78114.065452005962</v>
      </c>
      <c r="CJ23" s="54"/>
      <c r="CK23" s="94" t="s">
        <v>91</v>
      </c>
      <c r="CL23" s="356">
        <f>$DO$9</f>
        <v>76</v>
      </c>
      <c r="CM23" s="95">
        <f>$DO$7</f>
        <v>3.1599999999999993</v>
      </c>
      <c r="CN23" s="79">
        <f>$EL$10</f>
        <v>1083683.0680173661</v>
      </c>
      <c r="CO23" s="79">
        <f>$EL$9</f>
        <v>14258.987737070607</v>
      </c>
      <c r="CP23" s="54"/>
      <c r="CQ23" s="94" t="s">
        <v>91</v>
      </c>
      <c r="CR23" s="356">
        <f>$DE$9</f>
        <v>58</v>
      </c>
      <c r="CS23" s="95">
        <f>$DE$7</f>
        <v>2.8199999999999994</v>
      </c>
      <c r="CT23" s="79">
        <f>$EN$10</f>
        <v>0</v>
      </c>
      <c r="CU23" s="79" t="str">
        <f>$EN$9</f>
        <v>--</v>
      </c>
      <c r="CV23" s="54"/>
      <c r="CW23" s="94" t="s">
        <v>91</v>
      </c>
      <c r="CX23" s="356">
        <f>$DE$9</f>
        <v>58</v>
      </c>
      <c r="CY23" s="95">
        <f>$DE$7</f>
        <v>2.8199999999999994</v>
      </c>
      <c r="CZ23" s="79">
        <f ca="1">SUM(DetailedStructural[[#This Row],[Total Damages]],DetailedInternal[[#This Row],[Total Damages]],DetailedExternal[[#This Row],[Total Damages]],DetailedRiskToLife[[#This Row],[Total Damages]])</f>
        <v>11474860.224526765</v>
      </c>
      <c r="DA23" s="79">
        <f ca="1">SUM(DetailedStructural[[#This Row],[AAD per Property]],DetailedInternal[[#This Row],[AAD per Property]],DetailedExternal[[#This Row],[AAD per Property]],DetailedRiskToLife[[#This Row],[AAD per Property]])</f>
        <v>193417.21457343956</v>
      </c>
      <c r="DB23" s="54"/>
      <c r="DC23" s="54"/>
      <c r="DD23" s="188">
        <f t="shared" si="315"/>
        <v>0.48000000000000043</v>
      </c>
      <c r="DE23" s="188">
        <f t="shared" si="316"/>
        <v>-0.3</v>
      </c>
      <c r="DF23" s="188">
        <f t="shared" si="317"/>
        <v>-0.3</v>
      </c>
      <c r="DG23" s="188">
        <f t="shared" si="318"/>
        <v>-0.3</v>
      </c>
      <c r="DH23" s="188">
        <f t="shared" si="319"/>
        <v>-0.3</v>
      </c>
      <c r="DI23" s="188">
        <f t="shared" si="320"/>
        <v>-0.3</v>
      </c>
      <c r="DJ23" s="188">
        <f t="shared" si="321"/>
        <v>-0.3</v>
      </c>
      <c r="DK23" s="188">
        <f t="shared" si="322"/>
        <v>-0.3</v>
      </c>
      <c r="DL23" s="188">
        <f t="shared" si="323"/>
        <v>-0.3</v>
      </c>
      <c r="DM23" s="188">
        <f t="shared" si="324"/>
        <v>-0.3</v>
      </c>
      <c r="DN23" s="189">
        <f t="shared" si="325"/>
        <v>0.78000000000000025</v>
      </c>
      <c r="DO23" s="189">
        <f t="shared" si="326"/>
        <v>0</v>
      </c>
      <c r="DP23" s="189">
        <f t="shared" si="327"/>
        <v>0</v>
      </c>
      <c r="DQ23" s="189">
        <f t="shared" si="328"/>
        <v>0</v>
      </c>
      <c r="DR23" s="189">
        <f t="shared" si="329"/>
        <v>0</v>
      </c>
      <c r="DS23" s="189">
        <f t="shared" si="330"/>
        <v>0</v>
      </c>
      <c r="DT23" s="189">
        <f t="shared" si="331"/>
        <v>0</v>
      </c>
      <c r="DU23" s="189">
        <f t="shared" si="332"/>
        <v>0</v>
      </c>
      <c r="DV23" s="189">
        <f t="shared" si="333"/>
        <v>0</v>
      </c>
      <c r="DW23" s="189">
        <f t="shared" si="334"/>
        <v>0</v>
      </c>
      <c r="DX23" s="54"/>
      <c r="DY23" s="54"/>
      <c r="DZ23" s="199">
        <f t="shared" ca="1" si="237"/>
        <v>99905.258080077183</v>
      </c>
      <c r="EA23" s="200">
        <f t="shared" si="335"/>
        <v>1</v>
      </c>
      <c r="EB23" s="201">
        <f t="shared" ca="1" si="238"/>
        <v>72370.244815747836</v>
      </c>
      <c r="EC23" s="200">
        <f t="shared" si="336"/>
        <v>1</v>
      </c>
      <c r="ED23" s="201" cm="1">
        <f t="array" ref="ED23">IF(LEFT($AG23,3)="Res",IF(OR($DN23&gt;External_Threshold,$DD23&gt;0),1*Uplift*AWE*(External),0),0)</f>
        <v>15481.186685962373</v>
      </c>
      <c r="EE23" s="200">
        <f t="shared" si="337"/>
        <v>1</v>
      </c>
      <c r="EF23" s="201">
        <f t="shared" si="239"/>
        <v>0</v>
      </c>
      <c r="EG23" s="203">
        <f t="shared" si="338"/>
        <v>0</v>
      </c>
      <c r="EH23" s="199">
        <f t="shared" ca="1" si="240"/>
        <v>0</v>
      </c>
      <c r="EI23" s="200">
        <f t="shared" si="241"/>
        <v>0</v>
      </c>
      <c r="EJ23" s="201">
        <f t="shared" ca="1" si="242"/>
        <v>0</v>
      </c>
      <c r="EK23" s="200">
        <f t="shared" si="243"/>
        <v>0</v>
      </c>
      <c r="EL23" s="201" cm="1">
        <f t="array" ref="EL23">IF(LEFT($AG23,3)="Res",IF(OR($DO23&gt;External_Threshold,$DE23&gt;0),1*Uplift*AWE*(External),0),0)</f>
        <v>0</v>
      </c>
      <c r="EM23" s="200">
        <f t="shared" si="244"/>
        <v>0</v>
      </c>
      <c r="EN23" s="201">
        <f t="shared" si="245"/>
        <v>0</v>
      </c>
      <c r="EO23" s="203">
        <f t="shared" si="339"/>
        <v>0</v>
      </c>
      <c r="EP23" s="199">
        <f t="shared" ca="1" si="246"/>
        <v>0</v>
      </c>
      <c r="EQ23" s="200">
        <f t="shared" si="247"/>
        <v>0</v>
      </c>
      <c r="ER23" s="201">
        <f t="shared" ca="1" si="248"/>
        <v>0</v>
      </c>
      <c r="ES23" s="200">
        <f t="shared" si="249"/>
        <v>0</v>
      </c>
      <c r="ET23" s="201" cm="1">
        <f t="array" ref="ET23">IF(LEFT($AG23,3)="Res",IF(OR($DP23&gt;External_Threshold,$DF23&gt;0),1*Uplift*AWE*(External),0),0)</f>
        <v>0</v>
      </c>
      <c r="EU23" s="200">
        <f t="shared" si="250"/>
        <v>0</v>
      </c>
      <c r="EV23" s="201">
        <f t="shared" si="251"/>
        <v>0</v>
      </c>
      <c r="EW23" s="203">
        <f t="shared" si="340"/>
        <v>0</v>
      </c>
      <c r="EX23" s="199">
        <f t="shared" ca="1" si="252"/>
        <v>0</v>
      </c>
      <c r="EY23" s="200">
        <f t="shared" si="253"/>
        <v>0</v>
      </c>
      <c r="EZ23" s="201">
        <f t="shared" ca="1" si="254"/>
        <v>0</v>
      </c>
      <c r="FA23" s="200">
        <f t="shared" si="255"/>
        <v>0</v>
      </c>
      <c r="FB23" s="201" cm="1">
        <f t="array" ref="FB23">IF(LEFT($AG23,3)="Res",IF(OR($DQ23&gt;External_Threshold,$DG23&gt;0),1*Uplift*AWE*(External),0),0)</f>
        <v>0</v>
      </c>
      <c r="FC23" s="200">
        <f t="shared" si="256"/>
        <v>0</v>
      </c>
      <c r="FD23" s="201">
        <f t="shared" si="257"/>
        <v>0</v>
      </c>
      <c r="FE23" s="203">
        <f t="shared" si="341"/>
        <v>0</v>
      </c>
      <c r="FF23" s="199">
        <f t="shared" ca="1" si="258"/>
        <v>0</v>
      </c>
      <c r="FG23" s="200">
        <f t="shared" si="259"/>
        <v>0</v>
      </c>
      <c r="FH23" s="201">
        <f t="shared" ca="1" si="260"/>
        <v>0</v>
      </c>
      <c r="FI23" s="200">
        <f t="shared" si="261"/>
        <v>0</v>
      </c>
      <c r="FJ23" s="201" cm="1">
        <f t="array" ref="FJ23">IF(LEFT($AG23,3)="Res",IF(OR($DR23&gt;External_Threshold,$DH23&gt;0),1*Uplift*AWE*(External),0),0)</f>
        <v>0</v>
      </c>
      <c r="FK23" s="200">
        <f t="shared" si="262"/>
        <v>0</v>
      </c>
      <c r="FL23" s="201">
        <f t="shared" si="263"/>
        <v>0</v>
      </c>
      <c r="FM23" s="203">
        <f t="shared" si="342"/>
        <v>0</v>
      </c>
      <c r="FN23" s="199">
        <f t="shared" ca="1" si="264"/>
        <v>0</v>
      </c>
      <c r="FO23" s="200">
        <f t="shared" si="265"/>
        <v>0</v>
      </c>
      <c r="FP23" s="201">
        <f t="shared" ca="1" si="266"/>
        <v>0</v>
      </c>
      <c r="FQ23" s="200">
        <f t="shared" si="267"/>
        <v>0</v>
      </c>
      <c r="FR23" s="201" cm="1">
        <f t="array" ref="FR23">IF(LEFT($AG23,3)="Res",IF(OR($DS23&gt;External_Threshold,$DI23&gt;0),1*Uplift*AWE*(External),0),0)</f>
        <v>0</v>
      </c>
      <c r="FS23" s="200">
        <f t="shared" si="268"/>
        <v>0</v>
      </c>
      <c r="FT23" s="201">
        <f t="shared" si="269"/>
        <v>0</v>
      </c>
      <c r="FU23" s="203">
        <f t="shared" si="343"/>
        <v>0</v>
      </c>
      <c r="FV23" s="199">
        <f t="shared" ca="1" si="270"/>
        <v>0</v>
      </c>
      <c r="FW23" s="200">
        <f t="shared" si="271"/>
        <v>0</v>
      </c>
      <c r="FX23" s="201">
        <f t="shared" ca="1" si="272"/>
        <v>0</v>
      </c>
      <c r="FY23" s="200">
        <f t="shared" si="273"/>
        <v>0</v>
      </c>
      <c r="FZ23" s="201" cm="1">
        <f t="array" ref="FZ23">IF(LEFT($AG23,3)="Res",IF(OR($DT23&gt;External_Threshold,$DJ23&gt;0),1*Uplift*AWE*(External),0),0)</f>
        <v>0</v>
      </c>
      <c r="GA23" s="200">
        <f t="shared" si="274"/>
        <v>0</v>
      </c>
      <c r="GB23" s="201">
        <f t="shared" si="275"/>
        <v>0</v>
      </c>
      <c r="GC23" s="203">
        <f t="shared" si="344"/>
        <v>0</v>
      </c>
      <c r="GD23" s="199">
        <f t="shared" ca="1" si="276"/>
        <v>0</v>
      </c>
      <c r="GE23" s="200">
        <f t="shared" si="277"/>
        <v>0</v>
      </c>
      <c r="GF23" s="201">
        <f t="shared" ca="1" si="278"/>
        <v>0</v>
      </c>
      <c r="GG23" s="200">
        <f t="shared" si="279"/>
        <v>0</v>
      </c>
      <c r="GH23" s="201" cm="1">
        <f t="array" ref="GH23">IF(LEFT($AG23,3)="Res",IF(OR($DU23&gt;External_Threshold,$DK23&gt;0),1*Uplift*AWE*(External),0),0)</f>
        <v>0</v>
      </c>
      <c r="GI23" s="200">
        <f t="shared" si="280"/>
        <v>0</v>
      </c>
      <c r="GJ23" s="201">
        <f t="shared" si="281"/>
        <v>0</v>
      </c>
      <c r="GK23" s="203">
        <f t="shared" si="345"/>
        <v>0</v>
      </c>
      <c r="GL23" s="199">
        <f t="shared" ca="1" si="282"/>
        <v>0</v>
      </c>
      <c r="GM23" s="200">
        <f t="shared" si="283"/>
        <v>0</v>
      </c>
      <c r="GN23" s="201">
        <f t="shared" ca="1" si="284"/>
        <v>0</v>
      </c>
      <c r="GO23" s="200">
        <f t="shared" si="285"/>
        <v>0</v>
      </c>
      <c r="GP23" s="201" cm="1">
        <f t="array" ref="GP23">IF(LEFT($AG23,3)="Res",IF(OR($DV23&gt;External_Threshold,$DL23&gt;0),1*Uplift*AWE*(External),0),0)</f>
        <v>0</v>
      </c>
      <c r="GQ23" s="200">
        <f t="shared" si="286"/>
        <v>0</v>
      </c>
      <c r="GR23" s="201">
        <f t="shared" si="287"/>
        <v>0</v>
      </c>
      <c r="GS23" s="203">
        <f t="shared" si="346"/>
        <v>0</v>
      </c>
      <c r="GT23" s="199">
        <f t="shared" ca="1" si="288"/>
        <v>0</v>
      </c>
      <c r="GU23" s="200">
        <f t="shared" si="289"/>
        <v>0</v>
      </c>
      <c r="GV23" s="201">
        <f t="shared" ca="1" si="290"/>
        <v>0</v>
      </c>
      <c r="GW23" s="200">
        <f t="shared" si="291"/>
        <v>0</v>
      </c>
      <c r="GX23" s="201" cm="1">
        <f t="array" ref="GX23">IF(LEFT($AG23,3)="Res",IF(OR($DW23&gt;External_Threshold,$DM23&gt;0),1*Uplift*AWE*(External),0),0)</f>
        <v>0</v>
      </c>
      <c r="GY23" s="200">
        <f t="shared" si="292"/>
        <v>0</v>
      </c>
      <c r="GZ23" s="201">
        <f t="shared" si="293"/>
        <v>0</v>
      </c>
      <c r="HA23" s="203">
        <f t="shared" si="347"/>
        <v>0</v>
      </c>
      <c r="HB23" s="54"/>
      <c r="HC23" s="54"/>
      <c r="HD23" s="54"/>
      <c r="HE23" s="54"/>
      <c r="HF23" s="54"/>
      <c r="HG23" s="201">
        <f t="shared" ca="1" si="348"/>
        <v>187756.68958178739</v>
      </c>
      <c r="HH23" s="201">
        <f t="shared" ca="1" si="349"/>
        <v>0</v>
      </c>
      <c r="HI23" s="201">
        <f t="shared" ca="1" si="350"/>
        <v>0</v>
      </c>
      <c r="HJ23" s="201">
        <f t="shared" ca="1" si="351"/>
        <v>0</v>
      </c>
      <c r="HK23" s="201">
        <f t="shared" ca="1" si="352"/>
        <v>0</v>
      </c>
      <c r="HL23" s="201">
        <f t="shared" ca="1" si="353"/>
        <v>0</v>
      </c>
      <c r="HM23" s="201">
        <f t="shared" ca="1" si="354"/>
        <v>0</v>
      </c>
      <c r="HN23" s="201">
        <f t="shared" ca="1" si="355"/>
        <v>0</v>
      </c>
      <c r="HO23" s="201">
        <f t="shared" ca="1" si="356"/>
        <v>0</v>
      </c>
      <c r="HP23" s="201">
        <f t="shared" ca="1" si="357"/>
        <v>0</v>
      </c>
      <c r="HQ23" s="54"/>
    </row>
    <row r="24" spans="1:228" x14ac:dyDescent="0.3">
      <c r="A24" s="513">
        <v>6</v>
      </c>
      <c r="B24" s="514" t="s">
        <v>214</v>
      </c>
      <c r="C24" s="514" t="s">
        <v>390</v>
      </c>
      <c r="D24" s="514" t="s">
        <v>390</v>
      </c>
      <c r="E24" s="513">
        <v>1</v>
      </c>
      <c r="F24" s="515">
        <v>7.15</v>
      </c>
      <c r="G24" s="515">
        <v>6.95</v>
      </c>
      <c r="H24" s="513">
        <v>2</v>
      </c>
      <c r="I24" s="517">
        <v>1</v>
      </c>
      <c r="J24" s="518" t="s">
        <v>42</v>
      </c>
      <c r="K24" s="513">
        <f t="shared" si="204"/>
        <v>90</v>
      </c>
      <c r="L24" s="519">
        <v>7.74</v>
      </c>
      <c r="M24" s="519">
        <v>6.6999999999999993</v>
      </c>
      <c r="N24" s="519">
        <v>6.4</v>
      </c>
      <c r="O24" s="519">
        <v>6.1</v>
      </c>
      <c r="P24" s="519">
        <v>5.6</v>
      </c>
      <c r="Q24" s="519">
        <v>5.0999999999999996</v>
      </c>
      <c r="R24" s="519">
        <v>4.3</v>
      </c>
      <c r="S24" s="519">
        <v>0</v>
      </c>
      <c r="T24" s="519">
        <v>0</v>
      </c>
      <c r="U24" s="519">
        <v>0</v>
      </c>
      <c r="V24" s="536"/>
      <c r="W24" s="536"/>
      <c r="X24" s="536"/>
      <c r="Y24" s="536"/>
      <c r="Z24" s="536"/>
      <c r="AA24" s="536"/>
      <c r="AB24" s="536"/>
      <c r="AC24" s="536"/>
      <c r="AD24" s="536"/>
      <c r="AE24" s="536"/>
      <c r="AF24" s="54"/>
      <c r="AG24" s="204" t="str">
        <f t="shared" si="386"/>
        <v>Res1</v>
      </c>
      <c r="AH24" s="204">
        <f t="shared" si="294"/>
        <v>4</v>
      </c>
      <c r="AI24" s="204">
        <f t="shared" si="205"/>
        <v>1</v>
      </c>
      <c r="AJ24" s="54"/>
      <c r="AK24" s="74">
        <f>IFERROR(IF(H24&gt;4,0,AI24*Inputs!$C$55),0)</f>
        <v>2.6</v>
      </c>
      <c r="AL24" s="81">
        <f>IFERROR(Inputs!$C$73,0)</f>
        <v>5</v>
      </c>
      <c r="AM24" s="211">
        <f>IFERROR(Inputs!$C$74,0)</f>
        <v>0.24299999999999999</v>
      </c>
      <c r="AN24" s="446">
        <f>IFERROR(HLOOKUP(HLOOKUP(AN$17,$V$18:$AE24,COUNTA($AK$18:$AK24),FALSE),Inputs!$B$58:$H$59,2,FALSE),0)</f>
        <v>0</v>
      </c>
      <c r="AO24" s="447">
        <f t="shared" si="295"/>
        <v>0</v>
      </c>
      <c r="AP24" s="447">
        <f t="shared" si="296"/>
        <v>0</v>
      </c>
      <c r="AQ24" s="446">
        <f>IFERROR(HLOOKUP(HLOOKUP(AQ$17,$V$18:$AE24,COUNTA($AK$18:$AK24),FALSE),Inputs!$B$58:$H$59,2,FALSE),0)</f>
        <v>0</v>
      </c>
      <c r="AR24" s="447">
        <f t="shared" ref="AR24" si="400">2*$AK24*AQ24*$AL24/100*$AM24</f>
        <v>0</v>
      </c>
      <c r="AS24" s="447">
        <f t="shared" si="298"/>
        <v>0</v>
      </c>
      <c r="AT24" s="446">
        <f>IFERROR(HLOOKUP(HLOOKUP(AT$17,$V$18:$AE24,COUNTA($AK$18:$AK24),FALSE),Inputs!$B$58:$H$59,2,FALSE),0)</f>
        <v>0</v>
      </c>
      <c r="AU24" s="447">
        <f t="shared" ref="AU24" si="401">2*$AK24*AT24*$AL24/100*$AM24</f>
        <v>0</v>
      </c>
      <c r="AV24" s="447">
        <f t="shared" si="300"/>
        <v>0</v>
      </c>
      <c r="AW24" s="446">
        <f>IFERROR(HLOOKUP(HLOOKUP(AW$17,$V$18:$AE24,COUNTA($AK$18:$AK24),FALSE),Inputs!$B$58:$H$59,2,FALSE),0)</f>
        <v>0</v>
      </c>
      <c r="AX24" s="447">
        <f t="shared" ref="AX24" si="402">2*$AK24*AW24*$AL24/100*$AM24</f>
        <v>0</v>
      </c>
      <c r="AY24" s="447">
        <f t="shared" si="302"/>
        <v>0</v>
      </c>
      <c r="AZ24" s="446">
        <f>IFERROR(HLOOKUP(HLOOKUP(AZ$17,$V$18:$AE24,COUNTA($AK$18:$AK24),FALSE),Inputs!$B$58:$H$59,2,FALSE),0)</f>
        <v>0</v>
      </c>
      <c r="BA24" s="447">
        <f t="shared" ref="BA24" si="403">2*$AK24*AZ24*$AL24/100*$AM24</f>
        <v>0</v>
      </c>
      <c r="BB24" s="447">
        <f t="shared" si="304"/>
        <v>0</v>
      </c>
      <c r="BC24" s="446">
        <f>IFERROR(HLOOKUP(HLOOKUP(BC$17,$V$18:$AE24,COUNTA($AK$18:$AK24),FALSE),Inputs!$B$58:$H$59,2,FALSE),0)</f>
        <v>0</v>
      </c>
      <c r="BD24" s="447">
        <f t="shared" ref="BD24" si="404">2*$AK24*BC24*$AL24/100*$AM24</f>
        <v>0</v>
      </c>
      <c r="BE24" s="447">
        <f t="shared" si="306"/>
        <v>0</v>
      </c>
      <c r="BF24" s="446">
        <f>IFERROR(HLOOKUP(HLOOKUP(BF$17,$V$18:$AE24,COUNTA($AK$18:$AK24),FALSE),Inputs!$B$58:$H$59,2,FALSE),0)</f>
        <v>0</v>
      </c>
      <c r="BG24" s="447">
        <f t="shared" ref="BG24" si="405">2*$AK24*BF24*$AL24/100*$AM24</f>
        <v>0</v>
      </c>
      <c r="BH24" s="447">
        <f t="shared" si="308"/>
        <v>0</v>
      </c>
      <c r="BI24" s="446">
        <f>IFERROR(HLOOKUP(HLOOKUP(BI$17,$V$18:$AE24,COUNTA($AK$18:$AK24),FALSE),Inputs!$B$58:$H$59,2,FALSE),0)</f>
        <v>0</v>
      </c>
      <c r="BJ24" s="447">
        <f t="shared" ref="BJ24" si="406">2*$AK24*BI24*$AL24/100*$AM24</f>
        <v>0</v>
      </c>
      <c r="BK24" s="447">
        <f t="shared" si="310"/>
        <v>0</v>
      </c>
      <c r="BL24" s="446">
        <f>IFERROR(HLOOKUP(HLOOKUP(BL$17,$V$18:$AE24,COUNTA($AK$18:$AK24),FALSE),Inputs!$B$58:$H$59,2,FALSE),0)</f>
        <v>0</v>
      </c>
      <c r="BM24" s="447">
        <f t="shared" ref="BM24" si="407">2*$AK24*BL24*$AL24/100*$AM24</f>
        <v>0</v>
      </c>
      <c r="BN24" s="447">
        <f t="shared" si="312"/>
        <v>0</v>
      </c>
      <c r="BO24" s="446">
        <f>IFERROR(HLOOKUP(HLOOKUP(BO$17,$V$18:$AE24,COUNTA($AK$18:$AK24),FALSE),Inputs!$B$58:$H$59,2,FALSE),0)</f>
        <v>0</v>
      </c>
      <c r="BP24" s="447">
        <f t="shared" ref="BP24" si="408">2*$AK24*BO24*$AL24/100*$AM24</f>
        <v>0</v>
      </c>
      <c r="BQ24" s="447">
        <f t="shared" si="314"/>
        <v>0</v>
      </c>
      <c r="BR24" s="54"/>
      <c r="BS24" s="103">
        <f t="shared" ca="1" si="224"/>
        <v>41.428468333936323</v>
      </c>
      <c r="BT24" s="103">
        <f t="shared" ca="1" si="396"/>
        <v>37.841242077773799</v>
      </c>
      <c r="BU24" s="103">
        <f t="shared" si="397"/>
        <v>15.403780752532562</v>
      </c>
      <c r="BV24" s="103">
        <f t="shared" si="398"/>
        <v>0</v>
      </c>
      <c r="BW24" s="152">
        <f t="shared" ca="1" si="399"/>
        <v>94.673491164242677</v>
      </c>
      <c r="BX24" s="441"/>
      <c r="BY24" s="94" t="s">
        <v>92</v>
      </c>
      <c r="BZ24" s="356">
        <f>$DE$10</f>
        <v>16</v>
      </c>
      <c r="CA24" s="95">
        <f>$DE$8</f>
        <v>1.7399999999999993</v>
      </c>
      <c r="CB24" s="79">
        <f ca="1">$EH$12</f>
        <v>2575266.3158217533</v>
      </c>
      <c r="CC24" s="79">
        <f ca="1">$EH$11</f>
        <v>160954.14473885958</v>
      </c>
      <c r="CD24" s="54"/>
      <c r="CE24" s="94" t="s">
        <v>92</v>
      </c>
      <c r="CF24" s="356">
        <f>$DE$10</f>
        <v>16</v>
      </c>
      <c r="CG24" s="95">
        <f>$DE$8</f>
        <v>1.7399999999999993</v>
      </c>
      <c r="CH24" s="79">
        <f ca="1">$EJ$12</f>
        <v>0</v>
      </c>
      <c r="CI24" s="79">
        <f ca="1">$EJ$11</f>
        <v>0</v>
      </c>
      <c r="CJ24" s="54"/>
      <c r="CK24" s="94" t="s">
        <v>92</v>
      </c>
      <c r="CL24" s="356">
        <f>$DO$10</f>
        <v>23</v>
      </c>
      <c r="CM24" s="95">
        <f>$DO$8</f>
        <v>3.4299999999999997</v>
      </c>
      <c r="CN24" s="79">
        <f>$EL$12</f>
        <v>0</v>
      </c>
      <c r="CO24" s="79">
        <f>$EL$11</f>
        <v>0</v>
      </c>
      <c r="CP24" s="54"/>
      <c r="CQ24" s="94" t="s">
        <v>92</v>
      </c>
      <c r="CR24" s="356">
        <f>$DE$10</f>
        <v>16</v>
      </c>
      <c r="CS24" s="95">
        <f>$DE$8</f>
        <v>1.7399999999999993</v>
      </c>
      <c r="CT24" s="79">
        <f>$EN$12</f>
        <v>0</v>
      </c>
      <c r="CU24" s="79" t="str">
        <f>$EN$11</f>
        <v>--</v>
      </c>
      <c r="CV24" s="54"/>
      <c r="CW24" s="94" t="s">
        <v>92</v>
      </c>
      <c r="CX24" s="356">
        <f>$DE$10</f>
        <v>16</v>
      </c>
      <c r="CY24" s="95">
        <f>$DE$8</f>
        <v>1.7399999999999993</v>
      </c>
      <c r="CZ24" s="79">
        <f ca="1">SUM(DetailedStructural[[#This Row],[Total Damages]],DetailedInternal[[#This Row],[Total Damages]],DetailedExternal[[#This Row],[Total Damages]],DetailedRiskToLife[[#This Row],[Total Damages]])</f>
        <v>2575266.3158217533</v>
      </c>
      <c r="DA24" s="79">
        <f ca="1">SUM(DetailedStructural[[#This Row],[AAD per Property]],DetailedInternal[[#This Row],[AAD per Property]],DetailedExternal[[#This Row],[AAD per Property]],DetailedRiskToLife[[#This Row],[AAD per Property]])</f>
        <v>160954.14473885958</v>
      </c>
      <c r="DB24" s="54"/>
      <c r="DC24" s="54"/>
      <c r="DD24" s="188">
        <f t="shared" si="315"/>
        <v>0.58999999999999986</v>
      </c>
      <c r="DE24" s="188">
        <f t="shared" si="316"/>
        <v>-0.3</v>
      </c>
      <c r="DF24" s="188">
        <f t="shared" si="317"/>
        <v>-0.3</v>
      </c>
      <c r="DG24" s="188">
        <f t="shared" si="318"/>
        <v>-0.3</v>
      </c>
      <c r="DH24" s="188">
        <f t="shared" si="319"/>
        <v>-0.3</v>
      </c>
      <c r="DI24" s="188">
        <f t="shared" si="320"/>
        <v>-0.3</v>
      </c>
      <c r="DJ24" s="188">
        <f t="shared" si="321"/>
        <v>-0.3</v>
      </c>
      <c r="DK24" s="188">
        <f t="shared" si="322"/>
        <v>-0.3</v>
      </c>
      <c r="DL24" s="188">
        <f t="shared" si="323"/>
        <v>-0.3</v>
      </c>
      <c r="DM24" s="188">
        <f t="shared" si="324"/>
        <v>-0.3</v>
      </c>
      <c r="DN24" s="189">
        <f t="shared" si="325"/>
        <v>0.79</v>
      </c>
      <c r="DO24" s="189">
        <f t="shared" si="326"/>
        <v>0</v>
      </c>
      <c r="DP24" s="189">
        <f t="shared" si="327"/>
        <v>0</v>
      </c>
      <c r="DQ24" s="189">
        <f t="shared" si="328"/>
        <v>0</v>
      </c>
      <c r="DR24" s="189">
        <f t="shared" si="329"/>
        <v>0</v>
      </c>
      <c r="DS24" s="189">
        <f t="shared" si="330"/>
        <v>0</v>
      </c>
      <c r="DT24" s="189">
        <f t="shared" si="331"/>
        <v>0</v>
      </c>
      <c r="DU24" s="189">
        <f t="shared" si="332"/>
        <v>0</v>
      </c>
      <c r="DV24" s="189">
        <f t="shared" si="333"/>
        <v>0</v>
      </c>
      <c r="DW24" s="189">
        <f t="shared" si="334"/>
        <v>0</v>
      </c>
      <c r="DX24" s="54"/>
      <c r="DY24" s="54"/>
      <c r="DZ24" s="199">
        <f t="shared" ca="1" si="237"/>
        <v>41636.651591895803</v>
      </c>
      <c r="EA24" s="200">
        <f t="shared" si="335"/>
        <v>1</v>
      </c>
      <c r="EB24" s="201">
        <f t="shared" ca="1" si="238"/>
        <v>38031.399073139495</v>
      </c>
      <c r="EC24" s="200">
        <f t="shared" si="336"/>
        <v>1</v>
      </c>
      <c r="ED24" s="201" cm="1">
        <f t="array" ref="ED24">IF(LEFT($AG24,3)="Res",IF(OR($DN24&gt;External_Threshold,$DD24&gt;0),1*Uplift*AWE*(External),0),0)</f>
        <v>15481.186685962373</v>
      </c>
      <c r="EE24" s="200">
        <f t="shared" si="337"/>
        <v>1</v>
      </c>
      <c r="EF24" s="201">
        <f t="shared" si="239"/>
        <v>0</v>
      </c>
      <c r="EG24" s="203">
        <f t="shared" si="338"/>
        <v>0</v>
      </c>
      <c r="EH24" s="199">
        <f t="shared" ca="1" si="240"/>
        <v>0</v>
      </c>
      <c r="EI24" s="200">
        <f t="shared" si="241"/>
        <v>0</v>
      </c>
      <c r="EJ24" s="201">
        <f t="shared" ca="1" si="242"/>
        <v>0</v>
      </c>
      <c r="EK24" s="200">
        <f t="shared" si="243"/>
        <v>0</v>
      </c>
      <c r="EL24" s="201" cm="1">
        <f t="array" ref="EL24">IF(LEFT($AG24,3)="Res",IF(OR($DO24&gt;External_Threshold,$DE24&gt;0),1*Uplift*AWE*(External),0),0)</f>
        <v>0</v>
      </c>
      <c r="EM24" s="200">
        <f t="shared" si="244"/>
        <v>0</v>
      </c>
      <c r="EN24" s="201">
        <f t="shared" si="245"/>
        <v>0</v>
      </c>
      <c r="EO24" s="203">
        <f t="shared" si="339"/>
        <v>0</v>
      </c>
      <c r="EP24" s="199">
        <f t="shared" ca="1" si="246"/>
        <v>0</v>
      </c>
      <c r="EQ24" s="200">
        <f t="shared" si="247"/>
        <v>0</v>
      </c>
      <c r="ER24" s="201">
        <f t="shared" ca="1" si="248"/>
        <v>0</v>
      </c>
      <c r="ES24" s="200">
        <f t="shared" si="249"/>
        <v>0</v>
      </c>
      <c r="ET24" s="201" cm="1">
        <f t="array" ref="ET24">IF(LEFT($AG24,3)="Res",IF(OR($DP24&gt;External_Threshold,$DF24&gt;0),1*Uplift*AWE*(External),0),0)</f>
        <v>0</v>
      </c>
      <c r="EU24" s="200">
        <f t="shared" si="250"/>
        <v>0</v>
      </c>
      <c r="EV24" s="201">
        <f t="shared" si="251"/>
        <v>0</v>
      </c>
      <c r="EW24" s="203">
        <f t="shared" si="340"/>
        <v>0</v>
      </c>
      <c r="EX24" s="199">
        <f t="shared" ca="1" si="252"/>
        <v>0</v>
      </c>
      <c r="EY24" s="200">
        <f t="shared" si="253"/>
        <v>0</v>
      </c>
      <c r="EZ24" s="201">
        <f t="shared" ca="1" si="254"/>
        <v>0</v>
      </c>
      <c r="FA24" s="200">
        <f t="shared" si="255"/>
        <v>0</v>
      </c>
      <c r="FB24" s="201" cm="1">
        <f t="array" ref="FB24">IF(LEFT($AG24,3)="Res",IF(OR($DQ24&gt;External_Threshold,$DG24&gt;0),1*Uplift*AWE*(External),0),0)</f>
        <v>0</v>
      </c>
      <c r="FC24" s="200">
        <f t="shared" si="256"/>
        <v>0</v>
      </c>
      <c r="FD24" s="201">
        <f t="shared" si="257"/>
        <v>0</v>
      </c>
      <c r="FE24" s="203">
        <f t="shared" si="341"/>
        <v>0</v>
      </c>
      <c r="FF24" s="199">
        <f t="shared" ca="1" si="258"/>
        <v>0</v>
      </c>
      <c r="FG24" s="200">
        <f t="shared" si="259"/>
        <v>0</v>
      </c>
      <c r="FH24" s="201">
        <f t="shared" ca="1" si="260"/>
        <v>0</v>
      </c>
      <c r="FI24" s="200">
        <f t="shared" si="261"/>
        <v>0</v>
      </c>
      <c r="FJ24" s="201" cm="1">
        <f t="array" ref="FJ24">IF(LEFT($AG24,3)="Res",IF(OR($DR24&gt;External_Threshold,$DH24&gt;0),1*Uplift*AWE*(External),0),0)</f>
        <v>0</v>
      </c>
      <c r="FK24" s="200">
        <f t="shared" si="262"/>
        <v>0</v>
      </c>
      <c r="FL24" s="201">
        <f t="shared" si="263"/>
        <v>0</v>
      </c>
      <c r="FM24" s="203">
        <f t="shared" si="342"/>
        <v>0</v>
      </c>
      <c r="FN24" s="199">
        <f t="shared" ca="1" si="264"/>
        <v>0</v>
      </c>
      <c r="FO24" s="200">
        <f t="shared" si="265"/>
        <v>0</v>
      </c>
      <c r="FP24" s="201">
        <f t="shared" ca="1" si="266"/>
        <v>0</v>
      </c>
      <c r="FQ24" s="200">
        <f t="shared" si="267"/>
        <v>0</v>
      </c>
      <c r="FR24" s="201" cm="1">
        <f t="array" ref="FR24">IF(LEFT($AG24,3)="Res",IF(OR($DS24&gt;External_Threshold,$DI24&gt;0),1*Uplift*AWE*(External),0),0)</f>
        <v>0</v>
      </c>
      <c r="FS24" s="200">
        <f t="shared" si="268"/>
        <v>0</v>
      </c>
      <c r="FT24" s="201">
        <f t="shared" si="269"/>
        <v>0</v>
      </c>
      <c r="FU24" s="203">
        <f t="shared" si="343"/>
        <v>0</v>
      </c>
      <c r="FV24" s="199">
        <f t="shared" ca="1" si="270"/>
        <v>0</v>
      </c>
      <c r="FW24" s="200">
        <f t="shared" si="271"/>
        <v>0</v>
      </c>
      <c r="FX24" s="201">
        <f t="shared" ca="1" si="272"/>
        <v>0</v>
      </c>
      <c r="FY24" s="200">
        <f t="shared" si="273"/>
        <v>0</v>
      </c>
      <c r="FZ24" s="201" cm="1">
        <f t="array" ref="FZ24">IF(LEFT($AG24,3)="Res",IF(OR($DT24&gt;External_Threshold,$DJ24&gt;0),1*Uplift*AWE*(External),0),0)</f>
        <v>0</v>
      </c>
      <c r="GA24" s="200">
        <f t="shared" si="274"/>
        <v>0</v>
      </c>
      <c r="GB24" s="201">
        <f t="shared" si="275"/>
        <v>0</v>
      </c>
      <c r="GC24" s="203">
        <f t="shared" si="344"/>
        <v>0</v>
      </c>
      <c r="GD24" s="199">
        <f t="shared" ca="1" si="276"/>
        <v>0</v>
      </c>
      <c r="GE24" s="200">
        <f t="shared" si="277"/>
        <v>0</v>
      </c>
      <c r="GF24" s="201">
        <f t="shared" ca="1" si="278"/>
        <v>0</v>
      </c>
      <c r="GG24" s="200">
        <f t="shared" si="279"/>
        <v>0</v>
      </c>
      <c r="GH24" s="201" cm="1">
        <f t="array" ref="GH24">IF(LEFT($AG24,3)="Res",IF(OR($DU24&gt;External_Threshold,$DK24&gt;0),1*Uplift*AWE*(External),0),0)</f>
        <v>0</v>
      </c>
      <c r="GI24" s="200">
        <f t="shared" si="280"/>
        <v>0</v>
      </c>
      <c r="GJ24" s="201">
        <f t="shared" si="281"/>
        <v>0</v>
      </c>
      <c r="GK24" s="203">
        <f t="shared" si="345"/>
        <v>0</v>
      </c>
      <c r="GL24" s="199">
        <f t="shared" ca="1" si="282"/>
        <v>0</v>
      </c>
      <c r="GM24" s="200">
        <f t="shared" si="283"/>
        <v>0</v>
      </c>
      <c r="GN24" s="201">
        <f t="shared" ca="1" si="284"/>
        <v>0</v>
      </c>
      <c r="GO24" s="200">
        <f t="shared" si="285"/>
        <v>0</v>
      </c>
      <c r="GP24" s="201" cm="1">
        <f t="array" ref="GP24">IF(LEFT($AG24,3)="Res",IF(OR($DV24&gt;External_Threshold,$DL24&gt;0),1*Uplift*AWE*(External),0),0)</f>
        <v>0</v>
      </c>
      <c r="GQ24" s="200">
        <f t="shared" si="286"/>
        <v>0</v>
      </c>
      <c r="GR24" s="201">
        <f t="shared" si="287"/>
        <v>0</v>
      </c>
      <c r="GS24" s="203">
        <f t="shared" si="346"/>
        <v>0</v>
      </c>
      <c r="GT24" s="199">
        <f t="shared" ca="1" si="288"/>
        <v>0</v>
      </c>
      <c r="GU24" s="200">
        <f t="shared" si="289"/>
        <v>0</v>
      </c>
      <c r="GV24" s="201">
        <f t="shared" ca="1" si="290"/>
        <v>0</v>
      </c>
      <c r="GW24" s="200">
        <f t="shared" si="291"/>
        <v>0</v>
      </c>
      <c r="GX24" s="201" cm="1">
        <f t="array" ref="GX24">IF(LEFT($AG24,3)="Res",IF(OR($DW24&gt;External_Threshold,$DM24&gt;0),1*Uplift*AWE*(External),0),0)</f>
        <v>0</v>
      </c>
      <c r="GY24" s="200">
        <f t="shared" si="292"/>
        <v>0</v>
      </c>
      <c r="GZ24" s="201">
        <f t="shared" si="293"/>
        <v>0</v>
      </c>
      <c r="HA24" s="203">
        <f t="shared" si="347"/>
        <v>0</v>
      </c>
      <c r="HB24" s="54"/>
      <c r="HC24" s="54"/>
      <c r="HD24" s="54"/>
      <c r="HE24" s="54"/>
      <c r="HF24" s="54"/>
      <c r="HG24" s="201">
        <f t="shared" ca="1" si="348"/>
        <v>95149.237350997661</v>
      </c>
      <c r="HH24" s="201">
        <f t="shared" ca="1" si="349"/>
        <v>0</v>
      </c>
      <c r="HI24" s="201">
        <f t="shared" ca="1" si="350"/>
        <v>0</v>
      </c>
      <c r="HJ24" s="201">
        <f t="shared" ca="1" si="351"/>
        <v>0</v>
      </c>
      <c r="HK24" s="201">
        <f t="shared" ca="1" si="352"/>
        <v>0</v>
      </c>
      <c r="HL24" s="201">
        <f t="shared" ca="1" si="353"/>
        <v>0</v>
      </c>
      <c r="HM24" s="201">
        <f t="shared" ca="1" si="354"/>
        <v>0</v>
      </c>
      <c r="HN24" s="201">
        <f t="shared" ca="1" si="355"/>
        <v>0</v>
      </c>
      <c r="HO24" s="201">
        <f t="shared" ca="1" si="356"/>
        <v>0</v>
      </c>
      <c r="HP24" s="201">
        <f t="shared" ca="1" si="357"/>
        <v>0</v>
      </c>
      <c r="HQ24" s="54"/>
    </row>
    <row r="25" spans="1:228" x14ac:dyDescent="0.3">
      <c r="A25" s="513">
        <v>7</v>
      </c>
      <c r="B25" s="514" t="s">
        <v>215</v>
      </c>
      <c r="C25" s="514" t="s">
        <v>390</v>
      </c>
      <c r="D25" s="514" t="s">
        <v>390</v>
      </c>
      <c r="E25" s="513">
        <v>1</v>
      </c>
      <c r="F25" s="515">
        <v>7.45</v>
      </c>
      <c r="G25" s="515">
        <v>7.08</v>
      </c>
      <c r="H25" s="513">
        <v>2</v>
      </c>
      <c r="I25" s="517">
        <v>1</v>
      </c>
      <c r="J25" s="518" t="s">
        <v>43</v>
      </c>
      <c r="K25" s="513">
        <f>IF(H25=$B$12,$P$15,IF(H25=$B$13,$Q$15,_xlfn.XLOOKUP(J25,$K$14:$Q$14,$K$15:$Q$15,$O$15)))</f>
        <v>180</v>
      </c>
      <c r="L25" s="519">
        <v>7.74</v>
      </c>
      <c r="M25" s="519">
        <v>6.6999999999999993</v>
      </c>
      <c r="N25" s="519">
        <v>6.3999999999999995</v>
      </c>
      <c r="O25" s="519">
        <v>6.1</v>
      </c>
      <c r="P25" s="519">
        <v>5.6</v>
      </c>
      <c r="Q25" s="519">
        <v>5.0999999999999996</v>
      </c>
      <c r="R25" s="519">
        <v>4.3</v>
      </c>
      <c r="S25" s="519">
        <v>0</v>
      </c>
      <c r="T25" s="519">
        <v>0</v>
      </c>
      <c r="U25" s="519">
        <v>0</v>
      </c>
      <c r="V25" s="536"/>
      <c r="W25" s="536"/>
      <c r="X25" s="536"/>
      <c r="Y25" s="536"/>
      <c r="Z25" s="536"/>
      <c r="AA25" s="536"/>
      <c r="AB25" s="536"/>
      <c r="AC25" s="536"/>
      <c r="AD25" s="536"/>
      <c r="AE25" s="536"/>
      <c r="AF25" s="54"/>
      <c r="AG25" s="204" t="str">
        <f t="shared" si="386"/>
        <v>Res1</v>
      </c>
      <c r="AH25" s="204">
        <f t="shared" si="294"/>
        <v>5</v>
      </c>
      <c r="AI25" s="204">
        <f t="shared" si="205"/>
        <v>1</v>
      </c>
      <c r="AJ25" s="54"/>
      <c r="AK25" s="74">
        <f>IFERROR(IF(H25&gt;4,0,AI25*Inputs!$C$55),0)</f>
        <v>2.6</v>
      </c>
      <c r="AL25" s="81">
        <f>IFERROR(Inputs!$C$73,0)</f>
        <v>5</v>
      </c>
      <c r="AM25" s="211">
        <f>IFERROR(Inputs!$C$74,0)</f>
        <v>0.24299999999999999</v>
      </c>
      <c r="AN25" s="446">
        <f>IFERROR(HLOOKUP(HLOOKUP(AN$17,$V$18:$AE25,COUNTA($AK$18:$AK25),FALSE),Inputs!$B$58:$H$59,2,FALSE),0)</f>
        <v>0</v>
      </c>
      <c r="AO25" s="447">
        <f t="shared" si="295"/>
        <v>0</v>
      </c>
      <c r="AP25" s="447">
        <f t="shared" si="296"/>
        <v>0</v>
      </c>
      <c r="AQ25" s="446">
        <f>IFERROR(HLOOKUP(HLOOKUP(AQ$17,$V$18:$AE25,COUNTA($AK$18:$AK25),FALSE),Inputs!$B$58:$H$59,2,FALSE),0)</f>
        <v>0</v>
      </c>
      <c r="AR25" s="447">
        <f t="shared" ref="AR25" si="409">2*$AK25*AQ25*$AL25/100*$AM25</f>
        <v>0</v>
      </c>
      <c r="AS25" s="447">
        <f t="shared" si="298"/>
        <v>0</v>
      </c>
      <c r="AT25" s="446">
        <f>IFERROR(HLOOKUP(HLOOKUP(AT$17,$V$18:$AE25,COUNTA($AK$18:$AK25),FALSE),Inputs!$B$58:$H$59,2,FALSE),0)</f>
        <v>0</v>
      </c>
      <c r="AU25" s="447">
        <f t="shared" ref="AU25" si="410">2*$AK25*AT25*$AL25/100*$AM25</f>
        <v>0</v>
      </c>
      <c r="AV25" s="447">
        <f t="shared" si="300"/>
        <v>0</v>
      </c>
      <c r="AW25" s="446">
        <f>IFERROR(HLOOKUP(HLOOKUP(AW$17,$V$18:$AE25,COUNTA($AK$18:$AK25),FALSE),Inputs!$B$58:$H$59,2,FALSE),0)</f>
        <v>0</v>
      </c>
      <c r="AX25" s="447">
        <f t="shared" ref="AX25" si="411">2*$AK25*AW25*$AL25/100*$AM25</f>
        <v>0</v>
      </c>
      <c r="AY25" s="447">
        <f t="shared" si="302"/>
        <v>0</v>
      </c>
      <c r="AZ25" s="446">
        <f>IFERROR(HLOOKUP(HLOOKUP(AZ$17,$V$18:$AE25,COUNTA($AK$18:$AK25),FALSE),Inputs!$B$58:$H$59,2,FALSE),0)</f>
        <v>0</v>
      </c>
      <c r="BA25" s="447">
        <f t="shared" ref="BA25" si="412">2*$AK25*AZ25*$AL25/100*$AM25</f>
        <v>0</v>
      </c>
      <c r="BB25" s="447">
        <f t="shared" si="304"/>
        <v>0</v>
      </c>
      <c r="BC25" s="446">
        <f>IFERROR(HLOOKUP(HLOOKUP(BC$17,$V$18:$AE25,COUNTA($AK$18:$AK25),FALSE),Inputs!$B$58:$H$59,2,FALSE),0)</f>
        <v>0</v>
      </c>
      <c r="BD25" s="447">
        <f t="shared" ref="BD25" si="413">2*$AK25*BC25*$AL25/100*$AM25</f>
        <v>0</v>
      </c>
      <c r="BE25" s="447">
        <f t="shared" si="306"/>
        <v>0</v>
      </c>
      <c r="BF25" s="446">
        <f>IFERROR(HLOOKUP(HLOOKUP(BF$17,$V$18:$AE25,COUNTA($AK$18:$AK25),FALSE),Inputs!$B$58:$H$59,2,FALSE),0)</f>
        <v>0</v>
      </c>
      <c r="BG25" s="447">
        <f t="shared" ref="BG25" si="414">2*$AK25*BF25*$AL25/100*$AM25</f>
        <v>0</v>
      </c>
      <c r="BH25" s="447">
        <f t="shared" si="308"/>
        <v>0</v>
      </c>
      <c r="BI25" s="446">
        <f>IFERROR(HLOOKUP(HLOOKUP(BI$17,$V$18:$AE25,COUNTA($AK$18:$AK25),FALSE),Inputs!$B$58:$H$59,2,FALSE),0)</f>
        <v>0</v>
      </c>
      <c r="BJ25" s="447">
        <f t="shared" ref="BJ25" si="415">2*$AK25*BI25*$AL25/100*$AM25</f>
        <v>0</v>
      </c>
      <c r="BK25" s="447">
        <f t="shared" si="310"/>
        <v>0</v>
      </c>
      <c r="BL25" s="446">
        <f>IFERROR(HLOOKUP(HLOOKUP(BL$17,$V$18:$AE25,COUNTA($AK$18:$AK25),FALSE),Inputs!$B$58:$H$59,2,FALSE),0)</f>
        <v>0</v>
      </c>
      <c r="BM25" s="447">
        <f t="shared" ref="BM25" si="416">2*$AK25*BL25*$AL25/100*$AM25</f>
        <v>0</v>
      </c>
      <c r="BN25" s="447">
        <f t="shared" si="312"/>
        <v>0</v>
      </c>
      <c r="BO25" s="446">
        <f>IFERROR(HLOOKUP(HLOOKUP(BO$17,$V$18:$AE25,COUNTA($AK$18:$AK25),FALSE),Inputs!$B$58:$H$59,2,FALSE),0)</f>
        <v>0</v>
      </c>
      <c r="BP25" s="447">
        <f t="shared" ref="BP25" si="417">2*$AK25*BO25*$AL25/100*$AM25</f>
        <v>0</v>
      </c>
      <c r="BQ25" s="447">
        <f t="shared" si="314"/>
        <v>0</v>
      </c>
      <c r="BR25" s="54"/>
      <c r="BS25" s="103">
        <f t="shared" ca="1" si="224"/>
        <v>81.331962373371923</v>
      </c>
      <c r="BT25" s="103">
        <f t="shared" ca="1" si="396"/>
        <v>49.073972904544434</v>
      </c>
      <c r="BU25" s="103">
        <f t="shared" si="397"/>
        <v>15.403780752532562</v>
      </c>
      <c r="BV25" s="103">
        <f t="shared" si="398"/>
        <v>0</v>
      </c>
      <c r="BW25" s="152">
        <f t="shared" ca="1" si="399"/>
        <v>145.8097160304489</v>
      </c>
      <c r="BX25" s="441"/>
      <c r="BY25" s="96" t="str">
        <f>TEXT($N$10,"0.0%")&amp;" AEP"</f>
        <v>0.5% AEP</v>
      </c>
      <c r="BZ25" s="355">
        <f t="shared" ref="BZ25" si="418">SUM(BZ26:BZ27)</f>
        <v>64</v>
      </c>
      <c r="CA25" s="92">
        <f t="shared" ref="CA25" si="419">MAX(CA26:CA27)</f>
        <v>2.5199999999999996</v>
      </c>
      <c r="CB25" s="93">
        <f ca="1">$EP$15</f>
        <v>7329963.9632234629</v>
      </c>
      <c r="CC25" s="93">
        <f ca="1">$EP$14</f>
        <v>114530.68692536661</v>
      </c>
      <c r="CD25" s="54"/>
      <c r="CE25" s="96" t="str">
        <f>TEXT($N$10,"0.0%")&amp;" AEP"</f>
        <v>0.5% AEP</v>
      </c>
      <c r="CF25" s="355">
        <f t="shared" ref="CF25" si="420">SUM(CF26:CF27)</f>
        <v>64</v>
      </c>
      <c r="CG25" s="92">
        <f t="shared" ref="CG25" si="421">MAX(CG26:CG27)</f>
        <v>2.5199999999999996</v>
      </c>
      <c r="CH25" s="93">
        <f ca="1">$ER$15</f>
        <v>4062929.7751924763</v>
      </c>
      <c r="CI25" s="93">
        <f ca="1">$ER$14</f>
        <v>63483.277737382443</v>
      </c>
      <c r="CJ25" s="54"/>
      <c r="CK25" s="96" t="str">
        <f>TEXT($N$10,"0.0%")&amp;" AEP"</f>
        <v>0.5% AEP</v>
      </c>
      <c r="CL25" s="355">
        <f t="shared" ref="CL25" si="422">SUM(CL26:CL27)</f>
        <v>90</v>
      </c>
      <c r="CM25" s="92">
        <f t="shared" ref="CM25" si="423">MAX(CM26:CM27)</f>
        <v>3.13</v>
      </c>
      <c r="CN25" s="93">
        <f>$ET$15</f>
        <v>1055816.9319826337</v>
      </c>
      <c r="CO25" s="93">
        <f>$ET$14</f>
        <v>11731.299244251484</v>
      </c>
      <c r="CP25" s="54"/>
      <c r="CQ25" s="96" t="str">
        <f>TEXT($N$10,"0.0%")&amp;" AEP"</f>
        <v>0.5% AEP</v>
      </c>
      <c r="CR25" s="355">
        <f t="shared" ref="CR25" si="424">SUM(CR26:CR27)</f>
        <v>64</v>
      </c>
      <c r="CS25" s="92">
        <f t="shared" ref="CS25" si="425">MAX(CS26:CS27)</f>
        <v>2.5199999999999996</v>
      </c>
      <c r="CT25" s="93">
        <f>$EV$15</f>
        <v>0</v>
      </c>
      <c r="CU25" s="93" t="str">
        <f>$EV$14</f>
        <v>--</v>
      </c>
      <c r="CV25" s="54"/>
      <c r="CW25" s="96" t="str">
        <f>TEXT($N$10,"0.0%")&amp;" AEP"</f>
        <v>0.5% AEP</v>
      </c>
      <c r="CX25" s="355">
        <f t="shared" ref="CX25" si="426">SUM(CX26:CX27)</f>
        <v>64</v>
      </c>
      <c r="CY25" s="92">
        <f t="shared" ref="CY25" si="427">MAX(CY26:CY27)</f>
        <v>2.5199999999999996</v>
      </c>
      <c r="CZ25" s="93">
        <f ca="1">SUM(DetailedStructural[[#This Row],[Total Damages]],DetailedInternal[[#This Row],[Total Damages]],DetailedExternal[[#This Row],[Total Damages]],DetailedRiskToLife[[#This Row],[Total Damages]])</f>
        <v>12448710.670398574</v>
      </c>
      <c r="DA25" s="93">
        <f ca="1">SUM(DetailedStructural[[#This Row],[AAD per Property]],DetailedInternal[[#This Row],[AAD per Property]],DetailedExternal[[#This Row],[AAD per Property]],DetailedRiskToLife[[#This Row],[AAD per Property]])</f>
        <v>189745.26390700054</v>
      </c>
      <c r="DB25" s="54"/>
      <c r="DC25" s="54"/>
      <c r="DD25" s="188">
        <f t="shared" si="315"/>
        <v>0.29000000000000004</v>
      </c>
      <c r="DE25" s="188">
        <f t="shared" si="316"/>
        <v>-0.3</v>
      </c>
      <c r="DF25" s="188">
        <f t="shared" si="317"/>
        <v>-0.3</v>
      </c>
      <c r="DG25" s="188">
        <f t="shared" si="318"/>
        <v>-0.3</v>
      </c>
      <c r="DH25" s="188">
        <f t="shared" si="319"/>
        <v>-0.3</v>
      </c>
      <c r="DI25" s="188">
        <f t="shared" si="320"/>
        <v>-0.3</v>
      </c>
      <c r="DJ25" s="188">
        <f t="shared" si="321"/>
        <v>-0.3</v>
      </c>
      <c r="DK25" s="188">
        <f t="shared" si="322"/>
        <v>-0.3</v>
      </c>
      <c r="DL25" s="188">
        <f t="shared" si="323"/>
        <v>-0.3</v>
      </c>
      <c r="DM25" s="188">
        <f t="shared" si="324"/>
        <v>-0.3</v>
      </c>
      <c r="DN25" s="189">
        <f t="shared" si="325"/>
        <v>0.66000000000000014</v>
      </c>
      <c r="DO25" s="189">
        <f t="shared" si="326"/>
        <v>0</v>
      </c>
      <c r="DP25" s="189">
        <f t="shared" si="327"/>
        <v>0</v>
      </c>
      <c r="DQ25" s="189">
        <f t="shared" si="328"/>
        <v>0</v>
      </c>
      <c r="DR25" s="189">
        <f t="shared" si="329"/>
        <v>0</v>
      </c>
      <c r="DS25" s="189">
        <f t="shared" si="330"/>
        <v>0</v>
      </c>
      <c r="DT25" s="189">
        <f t="shared" si="331"/>
        <v>0</v>
      </c>
      <c r="DU25" s="189">
        <f t="shared" si="332"/>
        <v>0</v>
      </c>
      <c r="DV25" s="189">
        <f t="shared" si="333"/>
        <v>0</v>
      </c>
      <c r="DW25" s="189">
        <f t="shared" si="334"/>
        <v>0</v>
      </c>
      <c r="DX25" s="54"/>
      <c r="DY25" s="54"/>
      <c r="DZ25" s="199">
        <f t="shared" ca="1" si="237"/>
        <v>81740.665701881328</v>
      </c>
      <c r="EA25" s="200">
        <f t="shared" si="335"/>
        <v>1</v>
      </c>
      <c r="EB25" s="201">
        <f t="shared" ca="1" si="238"/>
        <v>49320.57578346174</v>
      </c>
      <c r="EC25" s="200">
        <f t="shared" si="336"/>
        <v>1</v>
      </c>
      <c r="ED25" s="201" cm="1">
        <f t="array" ref="ED25">IF(LEFT($AG25,3)="Res",IF(OR($DN25&gt;External_Threshold,$DD25&gt;0),1*Uplift*AWE*(External),0),0)</f>
        <v>15481.186685962373</v>
      </c>
      <c r="EE25" s="200">
        <f t="shared" si="337"/>
        <v>1</v>
      </c>
      <c r="EF25" s="201">
        <f t="shared" si="239"/>
        <v>0</v>
      </c>
      <c r="EG25" s="203">
        <f t="shared" si="338"/>
        <v>0</v>
      </c>
      <c r="EH25" s="199">
        <f t="shared" ca="1" si="240"/>
        <v>0</v>
      </c>
      <c r="EI25" s="200">
        <f t="shared" si="241"/>
        <v>0</v>
      </c>
      <c r="EJ25" s="201">
        <f t="shared" ca="1" si="242"/>
        <v>0</v>
      </c>
      <c r="EK25" s="200">
        <f t="shared" si="243"/>
        <v>0</v>
      </c>
      <c r="EL25" s="201" cm="1">
        <f t="array" ref="EL25">IF(LEFT($AG25,3)="Res",IF(OR($DO25&gt;External_Threshold,$DE25&gt;0),1*Uplift*AWE*(External),0),0)</f>
        <v>0</v>
      </c>
      <c r="EM25" s="200">
        <f t="shared" si="244"/>
        <v>0</v>
      </c>
      <c r="EN25" s="201">
        <f t="shared" si="245"/>
        <v>0</v>
      </c>
      <c r="EO25" s="203">
        <f t="shared" si="339"/>
        <v>0</v>
      </c>
      <c r="EP25" s="199">
        <f t="shared" ca="1" si="246"/>
        <v>0</v>
      </c>
      <c r="EQ25" s="200">
        <f t="shared" si="247"/>
        <v>0</v>
      </c>
      <c r="ER25" s="201">
        <f t="shared" ca="1" si="248"/>
        <v>0</v>
      </c>
      <c r="ES25" s="200">
        <f t="shared" si="249"/>
        <v>0</v>
      </c>
      <c r="ET25" s="201" cm="1">
        <f t="array" ref="ET25">IF(LEFT($AG25,3)="Res",IF(OR($DP25&gt;External_Threshold,$DF25&gt;0),1*Uplift*AWE*(External),0),0)</f>
        <v>0</v>
      </c>
      <c r="EU25" s="200">
        <f t="shared" si="250"/>
        <v>0</v>
      </c>
      <c r="EV25" s="201">
        <f t="shared" si="251"/>
        <v>0</v>
      </c>
      <c r="EW25" s="203">
        <f t="shared" si="340"/>
        <v>0</v>
      </c>
      <c r="EX25" s="199">
        <f t="shared" ca="1" si="252"/>
        <v>0</v>
      </c>
      <c r="EY25" s="200">
        <f t="shared" si="253"/>
        <v>0</v>
      </c>
      <c r="EZ25" s="201">
        <f t="shared" ca="1" si="254"/>
        <v>0</v>
      </c>
      <c r="FA25" s="200">
        <f t="shared" si="255"/>
        <v>0</v>
      </c>
      <c r="FB25" s="201" cm="1">
        <f t="array" ref="FB25">IF(LEFT($AG25,3)="Res",IF(OR($DQ25&gt;External_Threshold,$DG25&gt;0),1*Uplift*AWE*(External),0),0)</f>
        <v>0</v>
      </c>
      <c r="FC25" s="200">
        <f t="shared" si="256"/>
        <v>0</v>
      </c>
      <c r="FD25" s="201">
        <f t="shared" si="257"/>
        <v>0</v>
      </c>
      <c r="FE25" s="203">
        <f t="shared" si="341"/>
        <v>0</v>
      </c>
      <c r="FF25" s="199">
        <f t="shared" ca="1" si="258"/>
        <v>0</v>
      </c>
      <c r="FG25" s="200">
        <f t="shared" si="259"/>
        <v>0</v>
      </c>
      <c r="FH25" s="201">
        <f t="shared" ca="1" si="260"/>
        <v>0</v>
      </c>
      <c r="FI25" s="200">
        <f t="shared" si="261"/>
        <v>0</v>
      </c>
      <c r="FJ25" s="201" cm="1">
        <f t="array" ref="FJ25">IF(LEFT($AG25,3)="Res",IF(OR($DR25&gt;External_Threshold,$DH25&gt;0),1*Uplift*AWE*(External),0),0)</f>
        <v>0</v>
      </c>
      <c r="FK25" s="200">
        <f t="shared" si="262"/>
        <v>0</v>
      </c>
      <c r="FL25" s="201">
        <f t="shared" si="263"/>
        <v>0</v>
      </c>
      <c r="FM25" s="203">
        <f t="shared" si="342"/>
        <v>0</v>
      </c>
      <c r="FN25" s="199">
        <f t="shared" ca="1" si="264"/>
        <v>0</v>
      </c>
      <c r="FO25" s="200">
        <f t="shared" si="265"/>
        <v>0</v>
      </c>
      <c r="FP25" s="201">
        <f t="shared" ca="1" si="266"/>
        <v>0</v>
      </c>
      <c r="FQ25" s="200">
        <f t="shared" si="267"/>
        <v>0</v>
      </c>
      <c r="FR25" s="201" cm="1">
        <f t="array" ref="FR25">IF(LEFT($AG25,3)="Res",IF(OR($DS25&gt;External_Threshold,$DI25&gt;0),1*Uplift*AWE*(External),0),0)</f>
        <v>0</v>
      </c>
      <c r="FS25" s="200">
        <f t="shared" si="268"/>
        <v>0</v>
      </c>
      <c r="FT25" s="201">
        <f t="shared" si="269"/>
        <v>0</v>
      </c>
      <c r="FU25" s="203">
        <f t="shared" si="343"/>
        <v>0</v>
      </c>
      <c r="FV25" s="199">
        <f t="shared" ca="1" si="270"/>
        <v>0</v>
      </c>
      <c r="FW25" s="200">
        <f t="shared" si="271"/>
        <v>0</v>
      </c>
      <c r="FX25" s="201">
        <f t="shared" ca="1" si="272"/>
        <v>0</v>
      </c>
      <c r="FY25" s="200">
        <f t="shared" si="273"/>
        <v>0</v>
      </c>
      <c r="FZ25" s="201" cm="1">
        <f t="array" ref="FZ25">IF(LEFT($AG25,3)="Res",IF(OR($DT25&gt;External_Threshold,$DJ25&gt;0),1*Uplift*AWE*(External),0),0)</f>
        <v>0</v>
      </c>
      <c r="GA25" s="200">
        <f t="shared" si="274"/>
        <v>0</v>
      </c>
      <c r="GB25" s="201">
        <f t="shared" si="275"/>
        <v>0</v>
      </c>
      <c r="GC25" s="203">
        <f t="shared" si="344"/>
        <v>0</v>
      </c>
      <c r="GD25" s="199">
        <f t="shared" ca="1" si="276"/>
        <v>0</v>
      </c>
      <c r="GE25" s="200">
        <f t="shared" si="277"/>
        <v>0</v>
      </c>
      <c r="GF25" s="201">
        <f t="shared" ca="1" si="278"/>
        <v>0</v>
      </c>
      <c r="GG25" s="200">
        <f t="shared" si="279"/>
        <v>0</v>
      </c>
      <c r="GH25" s="201" cm="1">
        <f t="array" ref="GH25">IF(LEFT($AG25,3)="Res",IF(OR($DU25&gt;External_Threshold,$DK25&gt;0),1*Uplift*AWE*(External),0),0)</f>
        <v>0</v>
      </c>
      <c r="GI25" s="200">
        <f t="shared" si="280"/>
        <v>0</v>
      </c>
      <c r="GJ25" s="201">
        <f t="shared" si="281"/>
        <v>0</v>
      </c>
      <c r="GK25" s="203">
        <f t="shared" si="345"/>
        <v>0</v>
      </c>
      <c r="GL25" s="199">
        <f t="shared" ca="1" si="282"/>
        <v>0</v>
      </c>
      <c r="GM25" s="200">
        <f t="shared" si="283"/>
        <v>0</v>
      </c>
      <c r="GN25" s="201">
        <f t="shared" ca="1" si="284"/>
        <v>0</v>
      </c>
      <c r="GO25" s="200">
        <f t="shared" si="285"/>
        <v>0</v>
      </c>
      <c r="GP25" s="201" cm="1">
        <f t="array" ref="GP25">IF(LEFT($AG25,3)="Res",IF(OR($DV25&gt;External_Threshold,$DL25&gt;0),1*Uplift*AWE*(External),0),0)</f>
        <v>0</v>
      </c>
      <c r="GQ25" s="200">
        <f t="shared" si="286"/>
        <v>0</v>
      </c>
      <c r="GR25" s="201">
        <f t="shared" si="287"/>
        <v>0</v>
      </c>
      <c r="GS25" s="203">
        <f t="shared" si="346"/>
        <v>0</v>
      </c>
      <c r="GT25" s="199">
        <f t="shared" ca="1" si="288"/>
        <v>0</v>
      </c>
      <c r="GU25" s="200">
        <f t="shared" si="289"/>
        <v>0</v>
      </c>
      <c r="GV25" s="201">
        <f t="shared" ca="1" si="290"/>
        <v>0</v>
      </c>
      <c r="GW25" s="200">
        <f t="shared" si="291"/>
        <v>0</v>
      </c>
      <c r="GX25" s="201" cm="1">
        <f t="array" ref="GX25">IF(LEFT($AG25,3)="Res",IF(OR($DW25&gt;External_Threshold,$DM25&gt;0),1*Uplift*AWE*(External),0),0)</f>
        <v>0</v>
      </c>
      <c r="GY25" s="200">
        <f t="shared" si="292"/>
        <v>0</v>
      </c>
      <c r="GZ25" s="201">
        <f t="shared" si="293"/>
        <v>0</v>
      </c>
      <c r="HA25" s="203">
        <f t="shared" si="347"/>
        <v>0</v>
      </c>
      <c r="HB25" s="54"/>
      <c r="HC25" s="54"/>
      <c r="HD25" s="54"/>
      <c r="HE25" s="54"/>
      <c r="HF25" s="54"/>
      <c r="HG25" s="201">
        <f t="shared" ca="1" si="348"/>
        <v>146542.42817130545</v>
      </c>
      <c r="HH25" s="201">
        <f t="shared" ca="1" si="349"/>
        <v>0</v>
      </c>
      <c r="HI25" s="201">
        <f t="shared" ca="1" si="350"/>
        <v>0</v>
      </c>
      <c r="HJ25" s="201">
        <f t="shared" ca="1" si="351"/>
        <v>0</v>
      </c>
      <c r="HK25" s="201">
        <f t="shared" ca="1" si="352"/>
        <v>0</v>
      </c>
      <c r="HL25" s="201">
        <f t="shared" ca="1" si="353"/>
        <v>0</v>
      </c>
      <c r="HM25" s="201">
        <f t="shared" ca="1" si="354"/>
        <v>0</v>
      </c>
      <c r="HN25" s="201">
        <f t="shared" ca="1" si="355"/>
        <v>0</v>
      </c>
      <c r="HO25" s="201">
        <f t="shared" ca="1" si="356"/>
        <v>0</v>
      </c>
      <c r="HP25" s="201">
        <f t="shared" ca="1" si="357"/>
        <v>0</v>
      </c>
      <c r="HQ25" s="54"/>
    </row>
    <row r="26" spans="1:228" x14ac:dyDescent="0.3">
      <c r="A26" s="513">
        <v>8</v>
      </c>
      <c r="B26" s="514" t="s">
        <v>216</v>
      </c>
      <c r="C26" s="514" t="s">
        <v>390</v>
      </c>
      <c r="D26" s="514" t="s">
        <v>390</v>
      </c>
      <c r="E26" s="513">
        <v>1</v>
      </c>
      <c r="F26" s="515">
        <v>7.45</v>
      </c>
      <c r="G26" s="515">
        <v>7.11</v>
      </c>
      <c r="H26" s="513">
        <v>2</v>
      </c>
      <c r="I26" s="517">
        <v>1</v>
      </c>
      <c r="J26" s="518" t="s">
        <v>44</v>
      </c>
      <c r="K26" s="513">
        <f t="shared" si="204"/>
        <v>240</v>
      </c>
      <c r="L26" s="519">
        <v>7.74</v>
      </c>
      <c r="M26" s="519">
        <v>6.6999999999999993</v>
      </c>
      <c r="N26" s="519">
        <v>6.3999999999999995</v>
      </c>
      <c r="O26" s="519">
        <v>6.1</v>
      </c>
      <c r="P26" s="519">
        <v>5.6</v>
      </c>
      <c r="Q26" s="519">
        <v>5.0999999999999996</v>
      </c>
      <c r="R26" s="519">
        <v>4.3</v>
      </c>
      <c r="S26" s="519">
        <v>0</v>
      </c>
      <c r="T26" s="519">
        <v>0</v>
      </c>
      <c r="U26" s="519">
        <v>0</v>
      </c>
      <c r="V26" s="536"/>
      <c r="W26" s="536"/>
      <c r="X26" s="536"/>
      <c r="Y26" s="536"/>
      <c r="Z26" s="536"/>
      <c r="AA26" s="536"/>
      <c r="AB26" s="536"/>
      <c r="AC26" s="536"/>
      <c r="AD26" s="536"/>
      <c r="AE26" s="536"/>
      <c r="AF26" s="54"/>
      <c r="AG26" s="204" t="str">
        <f t="shared" si="386"/>
        <v>Res1</v>
      </c>
      <c r="AH26" s="204">
        <f t="shared" si="294"/>
        <v>6</v>
      </c>
      <c r="AI26" s="204">
        <f t="shared" si="205"/>
        <v>1</v>
      </c>
      <c r="AJ26" s="54"/>
      <c r="AK26" s="74">
        <f>IFERROR(IF(H26&gt;4,0,AI26*Inputs!$C$55),0)</f>
        <v>2.6</v>
      </c>
      <c r="AL26" s="81">
        <f>IFERROR(Inputs!$C$73,0)</f>
        <v>5</v>
      </c>
      <c r="AM26" s="211">
        <f>IFERROR(Inputs!$C$74,0)</f>
        <v>0.24299999999999999</v>
      </c>
      <c r="AN26" s="446">
        <f>IFERROR(HLOOKUP(HLOOKUP(AN$17,$V$18:$AE26,COUNTA($AK$18:$AK26),FALSE),Inputs!$B$58:$H$59,2,FALSE),0)</f>
        <v>0</v>
      </c>
      <c r="AO26" s="447">
        <f t="shared" si="295"/>
        <v>0</v>
      </c>
      <c r="AP26" s="447">
        <f t="shared" si="296"/>
        <v>0</v>
      </c>
      <c r="AQ26" s="446">
        <f>IFERROR(HLOOKUP(HLOOKUP(AQ$17,$V$18:$AE26,COUNTA($AK$18:$AK26),FALSE),Inputs!$B$58:$H$59,2,FALSE),0)</f>
        <v>0</v>
      </c>
      <c r="AR26" s="447">
        <f t="shared" ref="AR26" si="428">2*$AK26*AQ26*$AL26/100*$AM26</f>
        <v>0</v>
      </c>
      <c r="AS26" s="447">
        <f t="shared" si="298"/>
        <v>0</v>
      </c>
      <c r="AT26" s="446">
        <f>IFERROR(HLOOKUP(HLOOKUP(AT$17,$V$18:$AE26,COUNTA($AK$18:$AK26),FALSE),Inputs!$B$58:$H$59,2,FALSE),0)</f>
        <v>0</v>
      </c>
      <c r="AU26" s="447">
        <f t="shared" ref="AU26" si="429">2*$AK26*AT26*$AL26/100*$AM26</f>
        <v>0</v>
      </c>
      <c r="AV26" s="447">
        <f t="shared" si="300"/>
        <v>0</v>
      </c>
      <c r="AW26" s="446">
        <f>IFERROR(HLOOKUP(HLOOKUP(AW$17,$V$18:$AE26,COUNTA($AK$18:$AK26),FALSE),Inputs!$B$58:$H$59,2,FALSE),0)</f>
        <v>0</v>
      </c>
      <c r="AX26" s="447">
        <f t="shared" ref="AX26" si="430">2*$AK26*AW26*$AL26/100*$AM26</f>
        <v>0</v>
      </c>
      <c r="AY26" s="447">
        <f t="shared" si="302"/>
        <v>0</v>
      </c>
      <c r="AZ26" s="446">
        <f>IFERROR(HLOOKUP(HLOOKUP(AZ$17,$V$18:$AE26,COUNTA($AK$18:$AK26),FALSE),Inputs!$B$58:$H$59,2,FALSE),0)</f>
        <v>0</v>
      </c>
      <c r="BA26" s="447">
        <f t="shared" ref="BA26" si="431">2*$AK26*AZ26*$AL26/100*$AM26</f>
        <v>0</v>
      </c>
      <c r="BB26" s="447">
        <f t="shared" si="304"/>
        <v>0</v>
      </c>
      <c r="BC26" s="446">
        <f>IFERROR(HLOOKUP(HLOOKUP(BC$17,$V$18:$AE26,COUNTA($AK$18:$AK26),FALSE),Inputs!$B$58:$H$59,2,FALSE),0)</f>
        <v>0</v>
      </c>
      <c r="BD26" s="447">
        <f t="shared" ref="BD26" si="432">2*$AK26*BC26*$AL26/100*$AM26</f>
        <v>0</v>
      </c>
      <c r="BE26" s="447">
        <f t="shared" si="306"/>
        <v>0</v>
      </c>
      <c r="BF26" s="446">
        <f>IFERROR(HLOOKUP(HLOOKUP(BF$17,$V$18:$AE26,COUNTA($AK$18:$AK26),FALSE),Inputs!$B$58:$H$59,2,FALSE),0)</f>
        <v>0</v>
      </c>
      <c r="BG26" s="447">
        <f t="shared" ref="BG26" si="433">2*$AK26*BF26*$AL26/100*$AM26</f>
        <v>0</v>
      </c>
      <c r="BH26" s="447">
        <f t="shared" si="308"/>
        <v>0</v>
      </c>
      <c r="BI26" s="446">
        <f>IFERROR(HLOOKUP(HLOOKUP(BI$17,$V$18:$AE26,COUNTA($AK$18:$AK26),FALSE),Inputs!$B$58:$H$59,2,FALSE),0)</f>
        <v>0</v>
      </c>
      <c r="BJ26" s="447">
        <f t="shared" ref="BJ26" si="434">2*$AK26*BI26*$AL26/100*$AM26</f>
        <v>0</v>
      </c>
      <c r="BK26" s="447">
        <f t="shared" si="310"/>
        <v>0</v>
      </c>
      <c r="BL26" s="446">
        <f>IFERROR(HLOOKUP(HLOOKUP(BL$17,$V$18:$AE26,COUNTA($AK$18:$AK26),FALSE),Inputs!$B$58:$H$59,2,FALSE),0)</f>
        <v>0</v>
      </c>
      <c r="BM26" s="447">
        <f t="shared" ref="BM26" si="435">2*$AK26*BL26*$AL26/100*$AM26</f>
        <v>0</v>
      </c>
      <c r="BN26" s="447">
        <f t="shared" si="312"/>
        <v>0</v>
      </c>
      <c r="BO26" s="446">
        <f>IFERROR(HLOOKUP(HLOOKUP(BO$17,$V$18:$AE26,COUNTA($AK$18:$AK26),FALSE),Inputs!$B$58:$H$59,2,FALSE),0)</f>
        <v>0</v>
      </c>
      <c r="BP26" s="447">
        <f t="shared" ref="BP26" si="436">2*$AK26*BO26*$AL26/100*$AM26</f>
        <v>0</v>
      </c>
      <c r="BQ26" s="447">
        <f t="shared" si="314"/>
        <v>0</v>
      </c>
      <c r="BR26" s="54"/>
      <c r="BS26" s="103">
        <f t="shared" ca="1" si="224"/>
        <v>108.44261649782923</v>
      </c>
      <c r="BT26" s="103">
        <f t="shared" ca="1" si="396"/>
        <v>62.438672206059238</v>
      </c>
      <c r="BU26" s="103">
        <f t="shared" si="397"/>
        <v>15.403780752532562</v>
      </c>
      <c r="BV26" s="103">
        <f t="shared" si="398"/>
        <v>0</v>
      </c>
      <c r="BW26" s="152">
        <f t="shared" ca="1" si="399"/>
        <v>186.28506945642101</v>
      </c>
      <c r="BX26" s="441"/>
      <c r="BY26" s="94" t="s">
        <v>91</v>
      </c>
      <c r="BZ26" s="356">
        <f>$DF$9</f>
        <v>50</v>
      </c>
      <c r="CA26" s="95">
        <f>$DF$7</f>
        <v>2.5199999999999996</v>
      </c>
      <c r="CB26" s="79">
        <f ca="1">$EP$10</f>
        <v>4964950.9769908758</v>
      </c>
      <c r="CC26" s="79">
        <f ca="1">$EP$9</f>
        <v>99299.019539817513</v>
      </c>
      <c r="CD26" s="54"/>
      <c r="CE26" s="94" t="s">
        <v>91</v>
      </c>
      <c r="CF26" s="356">
        <f>$DF$9</f>
        <v>50</v>
      </c>
      <c r="CG26" s="95">
        <f>$DF$7</f>
        <v>2.5199999999999996</v>
      </c>
      <c r="CH26" s="79">
        <f ca="1">$ER$10</f>
        <v>3693572.5229022512</v>
      </c>
      <c r="CI26" s="79">
        <f ca="1">$ER$9</f>
        <v>73871.45045804503</v>
      </c>
      <c r="CJ26" s="54"/>
      <c r="CK26" s="94" t="s">
        <v>91</v>
      </c>
      <c r="CL26" s="356">
        <f>$DP$9</f>
        <v>69</v>
      </c>
      <c r="CM26" s="95">
        <f>$DP$7</f>
        <v>2.8599999999999994</v>
      </c>
      <c r="CN26" s="79">
        <f>$ET$10</f>
        <v>959833.57452966704</v>
      </c>
      <c r="CO26" s="79">
        <f>$ET$9</f>
        <v>13910.63151492271</v>
      </c>
      <c r="CP26" s="54"/>
      <c r="CQ26" s="94" t="s">
        <v>91</v>
      </c>
      <c r="CR26" s="356">
        <f>$DF$9</f>
        <v>50</v>
      </c>
      <c r="CS26" s="95">
        <f>$DF$7</f>
        <v>2.5199999999999996</v>
      </c>
      <c r="CT26" s="79">
        <f>$EV$10</f>
        <v>0</v>
      </c>
      <c r="CU26" s="79" t="str">
        <f>$EV$9</f>
        <v>--</v>
      </c>
      <c r="CV26" s="54"/>
      <c r="CW26" s="94" t="s">
        <v>91</v>
      </c>
      <c r="CX26" s="356">
        <f>$DF$9</f>
        <v>50</v>
      </c>
      <c r="CY26" s="95">
        <f>$DF$7</f>
        <v>2.5199999999999996</v>
      </c>
      <c r="CZ26" s="79">
        <f ca="1">SUM(DetailedStructural[[#This Row],[Total Damages]],DetailedInternal[[#This Row],[Total Damages]],DetailedExternal[[#This Row],[Total Damages]],DetailedRiskToLife[[#This Row],[Total Damages]])</f>
        <v>9618357.0744227935</v>
      </c>
      <c r="DA26" s="79">
        <f ca="1">SUM(DetailedStructural[[#This Row],[AAD per Property]],DetailedInternal[[#This Row],[AAD per Property]],DetailedExternal[[#This Row],[AAD per Property]],DetailedRiskToLife[[#This Row],[AAD per Property]])</f>
        <v>187081.10151278524</v>
      </c>
      <c r="DB26" s="54"/>
      <c r="DC26" s="54"/>
      <c r="DD26" s="188">
        <f t="shared" si="315"/>
        <v>0.29000000000000004</v>
      </c>
      <c r="DE26" s="188">
        <f t="shared" si="316"/>
        <v>-0.3</v>
      </c>
      <c r="DF26" s="188">
        <f t="shared" si="317"/>
        <v>-0.3</v>
      </c>
      <c r="DG26" s="188">
        <f t="shared" si="318"/>
        <v>-0.3</v>
      </c>
      <c r="DH26" s="188">
        <f t="shared" si="319"/>
        <v>-0.3</v>
      </c>
      <c r="DI26" s="188">
        <f t="shared" si="320"/>
        <v>-0.3</v>
      </c>
      <c r="DJ26" s="188">
        <f t="shared" si="321"/>
        <v>-0.3</v>
      </c>
      <c r="DK26" s="188">
        <f t="shared" si="322"/>
        <v>-0.3</v>
      </c>
      <c r="DL26" s="188">
        <f t="shared" si="323"/>
        <v>-0.3</v>
      </c>
      <c r="DM26" s="188">
        <f t="shared" si="324"/>
        <v>-0.3</v>
      </c>
      <c r="DN26" s="189">
        <f t="shared" si="325"/>
        <v>0.62999999999999989</v>
      </c>
      <c r="DO26" s="189">
        <f t="shared" si="326"/>
        <v>0</v>
      </c>
      <c r="DP26" s="189">
        <f t="shared" si="327"/>
        <v>0</v>
      </c>
      <c r="DQ26" s="189">
        <f t="shared" si="328"/>
        <v>0</v>
      </c>
      <c r="DR26" s="189">
        <f t="shared" si="329"/>
        <v>0</v>
      </c>
      <c r="DS26" s="189">
        <f t="shared" si="330"/>
        <v>0</v>
      </c>
      <c r="DT26" s="189">
        <f t="shared" si="331"/>
        <v>0</v>
      </c>
      <c r="DU26" s="189">
        <f t="shared" si="332"/>
        <v>0</v>
      </c>
      <c r="DV26" s="189">
        <f t="shared" si="333"/>
        <v>0</v>
      </c>
      <c r="DW26" s="189">
        <f t="shared" si="334"/>
        <v>0</v>
      </c>
      <c r="DX26" s="54"/>
      <c r="DY26" s="54"/>
      <c r="DZ26" s="199">
        <f t="shared" ca="1" si="237"/>
        <v>108987.5542691751</v>
      </c>
      <c r="EA26" s="200">
        <f t="shared" si="335"/>
        <v>1</v>
      </c>
      <c r="EB26" s="201">
        <f t="shared" ca="1" si="238"/>
        <v>62752.434377948979</v>
      </c>
      <c r="EC26" s="200">
        <f t="shared" si="336"/>
        <v>1</v>
      </c>
      <c r="ED26" s="201" cm="1">
        <f t="array" ref="ED26">IF(LEFT($AG26,3)="Res",IF(OR($DN26&gt;External_Threshold,$DD26&gt;0),1*Uplift*AWE*(External),0),0)</f>
        <v>15481.186685962373</v>
      </c>
      <c r="EE26" s="200">
        <f t="shared" si="337"/>
        <v>1</v>
      </c>
      <c r="EF26" s="201">
        <f t="shared" si="239"/>
        <v>0</v>
      </c>
      <c r="EG26" s="203">
        <f t="shared" si="338"/>
        <v>0</v>
      </c>
      <c r="EH26" s="199">
        <f t="shared" ca="1" si="240"/>
        <v>0</v>
      </c>
      <c r="EI26" s="200">
        <f t="shared" si="241"/>
        <v>0</v>
      </c>
      <c r="EJ26" s="201">
        <f t="shared" ca="1" si="242"/>
        <v>0</v>
      </c>
      <c r="EK26" s="200">
        <f t="shared" si="243"/>
        <v>0</v>
      </c>
      <c r="EL26" s="201" cm="1">
        <f t="array" ref="EL26">IF(LEFT($AG26,3)="Res",IF(OR($DO26&gt;External_Threshold,$DE26&gt;0),1*Uplift*AWE*(External),0),0)</f>
        <v>0</v>
      </c>
      <c r="EM26" s="200">
        <f t="shared" si="244"/>
        <v>0</v>
      </c>
      <c r="EN26" s="201">
        <f t="shared" si="245"/>
        <v>0</v>
      </c>
      <c r="EO26" s="203">
        <f t="shared" si="339"/>
        <v>0</v>
      </c>
      <c r="EP26" s="199">
        <f t="shared" ca="1" si="246"/>
        <v>0</v>
      </c>
      <c r="EQ26" s="200">
        <f t="shared" si="247"/>
        <v>0</v>
      </c>
      <c r="ER26" s="201">
        <f t="shared" ca="1" si="248"/>
        <v>0</v>
      </c>
      <c r="ES26" s="200">
        <f t="shared" si="249"/>
        <v>0</v>
      </c>
      <c r="ET26" s="201" cm="1">
        <f t="array" ref="ET26">IF(LEFT($AG26,3)="Res",IF(OR($DP26&gt;External_Threshold,$DF26&gt;0),1*Uplift*AWE*(External),0),0)</f>
        <v>0</v>
      </c>
      <c r="EU26" s="200">
        <f t="shared" si="250"/>
        <v>0</v>
      </c>
      <c r="EV26" s="201">
        <f t="shared" si="251"/>
        <v>0</v>
      </c>
      <c r="EW26" s="203">
        <f t="shared" si="340"/>
        <v>0</v>
      </c>
      <c r="EX26" s="199">
        <f t="shared" ca="1" si="252"/>
        <v>0</v>
      </c>
      <c r="EY26" s="200">
        <f t="shared" si="253"/>
        <v>0</v>
      </c>
      <c r="EZ26" s="201">
        <f t="shared" ca="1" si="254"/>
        <v>0</v>
      </c>
      <c r="FA26" s="200">
        <f t="shared" si="255"/>
        <v>0</v>
      </c>
      <c r="FB26" s="201" cm="1">
        <f t="array" ref="FB26">IF(LEFT($AG26,3)="Res",IF(OR($DQ26&gt;External_Threshold,$DG26&gt;0),1*Uplift*AWE*(External),0),0)</f>
        <v>0</v>
      </c>
      <c r="FC26" s="200">
        <f t="shared" si="256"/>
        <v>0</v>
      </c>
      <c r="FD26" s="201">
        <f t="shared" si="257"/>
        <v>0</v>
      </c>
      <c r="FE26" s="203">
        <f t="shared" si="341"/>
        <v>0</v>
      </c>
      <c r="FF26" s="199">
        <f t="shared" ca="1" si="258"/>
        <v>0</v>
      </c>
      <c r="FG26" s="200">
        <f t="shared" si="259"/>
        <v>0</v>
      </c>
      <c r="FH26" s="201">
        <f t="shared" ca="1" si="260"/>
        <v>0</v>
      </c>
      <c r="FI26" s="200">
        <f t="shared" si="261"/>
        <v>0</v>
      </c>
      <c r="FJ26" s="201" cm="1">
        <f t="array" ref="FJ26">IF(LEFT($AG26,3)="Res",IF(OR($DR26&gt;External_Threshold,$DH26&gt;0),1*Uplift*AWE*(External),0),0)</f>
        <v>0</v>
      </c>
      <c r="FK26" s="200">
        <f t="shared" si="262"/>
        <v>0</v>
      </c>
      <c r="FL26" s="201">
        <f t="shared" si="263"/>
        <v>0</v>
      </c>
      <c r="FM26" s="203">
        <f t="shared" si="342"/>
        <v>0</v>
      </c>
      <c r="FN26" s="199">
        <f t="shared" ca="1" si="264"/>
        <v>0</v>
      </c>
      <c r="FO26" s="200">
        <f t="shared" si="265"/>
        <v>0</v>
      </c>
      <c r="FP26" s="201">
        <f t="shared" ca="1" si="266"/>
        <v>0</v>
      </c>
      <c r="FQ26" s="200">
        <f t="shared" si="267"/>
        <v>0</v>
      </c>
      <c r="FR26" s="201" cm="1">
        <f t="array" ref="FR26">IF(LEFT($AG26,3)="Res",IF(OR($DS26&gt;External_Threshold,$DI26&gt;0),1*Uplift*AWE*(External),0),0)</f>
        <v>0</v>
      </c>
      <c r="FS26" s="200">
        <f t="shared" si="268"/>
        <v>0</v>
      </c>
      <c r="FT26" s="201">
        <f t="shared" si="269"/>
        <v>0</v>
      </c>
      <c r="FU26" s="203">
        <f t="shared" si="343"/>
        <v>0</v>
      </c>
      <c r="FV26" s="199">
        <f t="shared" ca="1" si="270"/>
        <v>0</v>
      </c>
      <c r="FW26" s="200">
        <f t="shared" si="271"/>
        <v>0</v>
      </c>
      <c r="FX26" s="201">
        <f t="shared" ca="1" si="272"/>
        <v>0</v>
      </c>
      <c r="FY26" s="200">
        <f t="shared" si="273"/>
        <v>0</v>
      </c>
      <c r="FZ26" s="201" cm="1">
        <f t="array" ref="FZ26">IF(LEFT($AG26,3)="Res",IF(OR($DT26&gt;External_Threshold,$DJ26&gt;0),1*Uplift*AWE*(External),0),0)</f>
        <v>0</v>
      </c>
      <c r="GA26" s="200">
        <f t="shared" si="274"/>
        <v>0</v>
      </c>
      <c r="GB26" s="201">
        <f t="shared" si="275"/>
        <v>0</v>
      </c>
      <c r="GC26" s="203">
        <f t="shared" si="344"/>
        <v>0</v>
      </c>
      <c r="GD26" s="199">
        <f t="shared" ca="1" si="276"/>
        <v>0</v>
      </c>
      <c r="GE26" s="200">
        <f t="shared" si="277"/>
        <v>0</v>
      </c>
      <c r="GF26" s="201">
        <f t="shared" ca="1" si="278"/>
        <v>0</v>
      </c>
      <c r="GG26" s="200">
        <f t="shared" si="279"/>
        <v>0</v>
      </c>
      <c r="GH26" s="201" cm="1">
        <f t="array" ref="GH26">IF(LEFT($AG26,3)="Res",IF(OR($DU26&gt;External_Threshold,$DK26&gt;0),1*Uplift*AWE*(External),0),0)</f>
        <v>0</v>
      </c>
      <c r="GI26" s="200">
        <f t="shared" si="280"/>
        <v>0</v>
      </c>
      <c r="GJ26" s="201">
        <f t="shared" si="281"/>
        <v>0</v>
      </c>
      <c r="GK26" s="203">
        <f t="shared" si="345"/>
        <v>0</v>
      </c>
      <c r="GL26" s="199">
        <f t="shared" ca="1" si="282"/>
        <v>0</v>
      </c>
      <c r="GM26" s="200">
        <f t="shared" si="283"/>
        <v>0</v>
      </c>
      <c r="GN26" s="201">
        <f t="shared" ca="1" si="284"/>
        <v>0</v>
      </c>
      <c r="GO26" s="200">
        <f t="shared" si="285"/>
        <v>0</v>
      </c>
      <c r="GP26" s="201" cm="1">
        <f t="array" ref="GP26">IF(LEFT($AG26,3)="Res",IF(OR($DV26&gt;External_Threshold,$DL26&gt;0),1*Uplift*AWE*(External),0),0)</f>
        <v>0</v>
      </c>
      <c r="GQ26" s="200">
        <f t="shared" si="286"/>
        <v>0</v>
      </c>
      <c r="GR26" s="201">
        <f t="shared" si="287"/>
        <v>0</v>
      </c>
      <c r="GS26" s="203">
        <f t="shared" si="346"/>
        <v>0</v>
      </c>
      <c r="GT26" s="199">
        <f t="shared" ca="1" si="288"/>
        <v>0</v>
      </c>
      <c r="GU26" s="200">
        <f t="shared" si="289"/>
        <v>0</v>
      </c>
      <c r="GV26" s="201">
        <f t="shared" ca="1" si="290"/>
        <v>0</v>
      </c>
      <c r="GW26" s="200">
        <f t="shared" si="291"/>
        <v>0</v>
      </c>
      <c r="GX26" s="201" cm="1">
        <f t="array" ref="GX26">IF(LEFT($AG26,3)="Res",IF(OR($DW26&gt;External_Threshold,$DM26&gt;0),1*Uplift*AWE*(External),0),0)</f>
        <v>0</v>
      </c>
      <c r="GY26" s="200">
        <f t="shared" si="292"/>
        <v>0</v>
      </c>
      <c r="GZ26" s="201">
        <f t="shared" si="293"/>
        <v>0</v>
      </c>
      <c r="HA26" s="203">
        <f t="shared" si="347"/>
        <v>0</v>
      </c>
      <c r="HB26" s="54"/>
      <c r="HC26" s="54"/>
      <c r="HD26" s="54"/>
      <c r="HE26" s="54"/>
      <c r="HF26" s="54"/>
      <c r="HG26" s="201">
        <f t="shared" ca="1" si="348"/>
        <v>187221.17533308646</v>
      </c>
      <c r="HH26" s="201">
        <f t="shared" ca="1" si="349"/>
        <v>0</v>
      </c>
      <c r="HI26" s="201">
        <f t="shared" ca="1" si="350"/>
        <v>0</v>
      </c>
      <c r="HJ26" s="201">
        <f t="shared" ca="1" si="351"/>
        <v>0</v>
      </c>
      <c r="HK26" s="201">
        <f t="shared" ca="1" si="352"/>
        <v>0</v>
      </c>
      <c r="HL26" s="201">
        <f t="shared" ca="1" si="353"/>
        <v>0</v>
      </c>
      <c r="HM26" s="201">
        <f t="shared" ca="1" si="354"/>
        <v>0</v>
      </c>
      <c r="HN26" s="201">
        <f t="shared" ca="1" si="355"/>
        <v>0</v>
      </c>
      <c r="HO26" s="201">
        <f t="shared" ca="1" si="356"/>
        <v>0</v>
      </c>
      <c r="HP26" s="201">
        <f t="shared" ca="1" si="357"/>
        <v>0</v>
      </c>
      <c r="HQ26" s="54"/>
    </row>
    <row r="27" spans="1:228" x14ac:dyDescent="0.3">
      <c r="A27" s="513">
        <v>9</v>
      </c>
      <c r="B27" s="514" t="s">
        <v>217</v>
      </c>
      <c r="C27" s="514" t="s">
        <v>390</v>
      </c>
      <c r="D27" s="514" t="s">
        <v>390</v>
      </c>
      <c r="E27" s="513">
        <v>2</v>
      </c>
      <c r="F27" s="515">
        <v>7.14</v>
      </c>
      <c r="G27" s="515">
        <v>7.04</v>
      </c>
      <c r="H27" s="513">
        <v>2</v>
      </c>
      <c r="I27" s="517">
        <v>1</v>
      </c>
      <c r="J27" s="518" t="s">
        <v>295</v>
      </c>
      <c r="K27" s="513">
        <f t="shared" si="204"/>
        <v>220</v>
      </c>
      <c r="L27" s="519">
        <v>7.74</v>
      </c>
      <c r="M27" s="519">
        <v>6.6999999999999993</v>
      </c>
      <c r="N27" s="519">
        <v>6.3999999999999995</v>
      </c>
      <c r="O27" s="519">
        <v>6.1</v>
      </c>
      <c r="P27" s="519">
        <v>5.6</v>
      </c>
      <c r="Q27" s="519">
        <v>5.0999999999999996</v>
      </c>
      <c r="R27" s="519">
        <v>4.3</v>
      </c>
      <c r="S27" s="519">
        <v>0</v>
      </c>
      <c r="T27" s="519">
        <v>0</v>
      </c>
      <c r="U27" s="519">
        <v>0</v>
      </c>
      <c r="V27" s="536"/>
      <c r="W27" s="536"/>
      <c r="X27" s="536"/>
      <c r="Y27" s="536"/>
      <c r="Z27" s="536"/>
      <c r="AA27" s="536"/>
      <c r="AB27" s="536"/>
      <c r="AC27" s="536"/>
      <c r="AD27" s="536"/>
      <c r="AE27" s="536"/>
      <c r="AF27" s="54"/>
      <c r="AG27" s="204" t="str">
        <f>IF(AND($H27&lt;=4),"Res","Com")&amp;IF($H27=3,1,IF($H27=4,2,IF($H27&gt;4,1,IF($E27&lt;=1,1,2))))</f>
        <v>Res2</v>
      </c>
      <c r="AH27" s="204">
        <f t="shared" si="294"/>
        <v>6</v>
      </c>
      <c r="AI27" s="204">
        <f t="shared" si="205"/>
        <v>1</v>
      </c>
      <c r="AJ27" s="54"/>
      <c r="AK27" s="74">
        <f>IFERROR(IF(H27&gt;4,0,AI27*Inputs!$C$55),0)</f>
        <v>2.6</v>
      </c>
      <c r="AL27" s="81">
        <f>IFERROR(Inputs!$C$73,0)</f>
        <v>5</v>
      </c>
      <c r="AM27" s="211">
        <f>IFERROR(Inputs!$C$74,0)</f>
        <v>0.24299999999999999</v>
      </c>
      <c r="AN27" s="446">
        <f>IFERROR(HLOOKUP(HLOOKUP(AN$17,$V$18:$AE27,COUNTA($AK$18:$AK27),FALSE),Inputs!$B$58:$H$59,2,FALSE),0)</f>
        <v>0</v>
      </c>
      <c r="AO27" s="447">
        <f t="shared" si="295"/>
        <v>0</v>
      </c>
      <c r="AP27" s="447">
        <f t="shared" si="296"/>
        <v>0</v>
      </c>
      <c r="AQ27" s="446">
        <f>IFERROR(HLOOKUP(HLOOKUP(AQ$17,$V$18:$AE27,COUNTA($AK$18:$AK27),FALSE),Inputs!$B$58:$H$59,2,FALSE),0)</f>
        <v>0</v>
      </c>
      <c r="AR27" s="447">
        <f t="shared" ref="AR27" si="437">2*$AK27*AQ27*$AL27/100*$AM27</f>
        <v>0</v>
      </c>
      <c r="AS27" s="447">
        <f t="shared" si="298"/>
        <v>0</v>
      </c>
      <c r="AT27" s="446">
        <f>IFERROR(HLOOKUP(HLOOKUP(AT$17,$V$18:$AE27,COUNTA($AK$18:$AK27),FALSE),Inputs!$B$58:$H$59,2,FALSE),0)</f>
        <v>0</v>
      </c>
      <c r="AU27" s="447">
        <f t="shared" ref="AU27" si="438">2*$AK27*AT27*$AL27/100*$AM27</f>
        <v>0</v>
      </c>
      <c r="AV27" s="447">
        <f t="shared" si="300"/>
        <v>0</v>
      </c>
      <c r="AW27" s="446">
        <f>IFERROR(HLOOKUP(HLOOKUP(AW$17,$V$18:$AE27,COUNTA($AK$18:$AK27),FALSE),Inputs!$B$58:$H$59,2,FALSE),0)</f>
        <v>0</v>
      </c>
      <c r="AX27" s="447">
        <f t="shared" ref="AX27" si="439">2*$AK27*AW27*$AL27/100*$AM27</f>
        <v>0</v>
      </c>
      <c r="AY27" s="447">
        <f t="shared" si="302"/>
        <v>0</v>
      </c>
      <c r="AZ27" s="446">
        <f>IFERROR(HLOOKUP(HLOOKUP(AZ$17,$V$18:$AE27,COUNTA($AK$18:$AK27),FALSE),Inputs!$B$58:$H$59,2,FALSE),0)</f>
        <v>0</v>
      </c>
      <c r="BA27" s="447">
        <f t="shared" ref="BA27" si="440">2*$AK27*AZ27*$AL27/100*$AM27</f>
        <v>0</v>
      </c>
      <c r="BB27" s="447">
        <f t="shared" si="304"/>
        <v>0</v>
      </c>
      <c r="BC27" s="446">
        <f>IFERROR(HLOOKUP(HLOOKUP(BC$17,$V$18:$AE27,COUNTA($AK$18:$AK27),FALSE),Inputs!$B$58:$H$59,2,FALSE),0)</f>
        <v>0</v>
      </c>
      <c r="BD27" s="447">
        <f t="shared" ref="BD27" si="441">2*$AK27*BC27*$AL27/100*$AM27</f>
        <v>0</v>
      </c>
      <c r="BE27" s="447">
        <f t="shared" si="306"/>
        <v>0</v>
      </c>
      <c r="BF27" s="446">
        <f>IFERROR(HLOOKUP(HLOOKUP(BF$17,$V$18:$AE27,COUNTA($AK$18:$AK27),FALSE),Inputs!$B$58:$H$59,2,FALSE),0)</f>
        <v>0</v>
      </c>
      <c r="BG27" s="447">
        <f t="shared" ref="BG27" si="442">2*$AK27*BF27*$AL27/100*$AM27</f>
        <v>0</v>
      </c>
      <c r="BH27" s="447">
        <f t="shared" si="308"/>
        <v>0</v>
      </c>
      <c r="BI27" s="446">
        <f>IFERROR(HLOOKUP(HLOOKUP(BI$17,$V$18:$AE27,COUNTA($AK$18:$AK27),FALSE),Inputs!$B$58:$H$59,2,FALSE),0)</f>
        <v>0</v>
      </c>
      <c r="BJ27" s="447">
        <f t="shared" ref="BJ27" si="443">2*$AK27*BI27*$AL27/100*$AM27</f>
        <v>0</v>
      </c>
      <c r="BK27" s="447">
        <f t="shared" si="310"/>
        <v>0</v>
      </c>
      <c r="BL27" s="446">
        <f>IFERROR(HLOOKUP(HLOOKUP(BL$17,$V$18:$AE27,COUNTA($AK$18:$AK27),FALSE),Inputs!$B$58:$H$59,2,FALSE),0)</f>
        <v>0</v>
      </c>
      <c r="BM27" s="447">
        <f t="shared" ref="BM27" si="444">2*$AK27*BL27*$AL27/100*$AM27</f>
        <v>0</v>
      </c>
      <c r="BN27" s="447">
        <f t="shared" si="312"/>
        <v>0</v>
      </c>
      <c r="BO27" s="446">
        <f>IFERROR(HLOOKUP(HLOOKUP(BO$17,$V$18:$AE27,COUNTA($AK$18:$AK27),FALSE),Inputs!$B$58:$H$59,2,FALSE),0)</f>
        <v>0</v>
      </c>
      <c r="BP27" s="447">
        <f t="shared" ref="BP27" si="445">2*$AK27*BO27*$AL27/100*$AM27</f>
        <v>0</v>
      </c>
      <c r="BQ27" s="447">
        <f t="shared" si="314"/>
        <v>0</v>
      </c>
      <c r="BR27" s="54"/>
      <c r="BS27" s="103">
        <f t="shared" ca="1" si="224"/>
        <v>60.761753556439942</v>
      </c>
      <c r="BT27" s="103">
        <f t="shared" ca="1" si="396"/>
        <v>44.691245099278447</v>
      </c>
      <c r="BU27" s="103">
        <f t="shared" si="397"/>
        <v>15.403780752532562</v>
      </c>
      <c r="BV27" s="103">
        <f t="shared" si="398"/>
        <v>0</v>
      </c>
      <c r="BW27" s="152">
        <f t="shared" ca="1" si="399"/>
        <v>120.85677940825096</v>
      </c>
      <c r="BX27" s="441"/>
      <c r="BY27" s="94" t="s">
        <v>92</v>
      </c>
      <c r="BZ27" s="356">
        <f>$DF$10</f>
        <v>14</v>
      </c>
      <c r="CA27" s="95">
        <f>$DF$8</f>
        <v>1.4399999999999995</v>
      </c>
      <c r="CB27" s="79">
        <f ca="1">$EP$12</f>
        <v>1868517.8885334989</v>
      </c>
      <c r="CC27" s="79">
        <f ca="1">$EP$11</f>
        <v>133465.56346667849</v>
      </c>
      <c r="CD27" s="54"/>
      <c r="CE27" s="94" t="s">
        <v>92</v>
      </c>
      <c r="CF27" s="356">
        <f>$DF$10</f>
        <v>14</v>
      </c>
      <c r="CG27" s="95">
        <f>$DF$8</f>
        <v>1.4399999999999995</v>
      </c>
      <c r="CH27" s="79">
        <f ca="1">$ER$12</f>
        <v>0</v>
      </c>
      <c r="CI27" s="79">
        <f ca="1">$ER$11</f>
        <v>0</v>
      </c>
      <c r="CJ27" s="54"/>
      <c r="CK27" s="94" t="s">
        <v>92</v>
      </c>
      <c r="CL27" s="356">
        <f>$DP$10</f>
        <v>21</v>
      </c>
      <c r="CM27" s="95">
        <f>$DP$8</f>
        <v>3.13</v>
      </c>
      <c r="CN27" s="79">
        <f>$ET$12</f>
        <v>0</v>
      </c>
      <c r="CO27" s="79">
        <f>$ET$11</f>
        <v>0</v>
      </c>
      <c r="CP27" s="54"/>
      <c r="CQ27" s="94" t="s">
        <v>92</v>
      </c>
      <c r="CR27" s="356">
        <f>$DF$10</f>
        <v>14</v>
      </c>
      <c r="CS27" s="95">
        <f>$DF$8</f>
        <v>1.4399999999999995</v>
      </c>
      <c r="CT27" s="79">
        <f>$EV$12</f>
        <v>0</v>
      </c>
      <c r="CU27" s="79" t="str">
        <f>$EV$11</f>
        <v>--</v>
      </c>
      <c r="CV27" s="54"/>
      <c r="CW27" s="94" t="s">
        <v>92</v>
      </c>
      <c r="CX27" s="356">
        <f>$DF$10</f>
        <v>14</v>
      </c>
      <c r="CY27" s="95">
        <f>$DF$8</f>
        <v>1.4399999999999995</v>
      </c>
      <c r="CZ27" s="79">
        <f ca="1">SUM(DetailedStructural[[#This Row],[Total Damages]],DetailedInternal[[#This Row],[Total Damages]],DetailedExternal[[#This Row],[Total Damages]],DetailedRiskToLife[[#This Row],[Total Damages]])</f>
        <v>1868517.8885334989</v>
      </c>
      <c r="DA27" s="79">
        <f ca="1">SUM(DetailedStructural[[#This Row],[AAD per Property]],DetailedInternal[[#This Row],[AAD per Property]],DetailedExternal[[#This Row],[AAD per Property]],DetailedRiskToLife[[#This Row],[AAD per Property]])</f>
        <v>133465.56346667849</v>
      </c>
      <c r="DB27" s="54"/>
      <c r="DC27" s="54"/>
      <c r="DD27" s="188">
        <f t="shared" si="315"/>
        <v>0.60000000000000053</v>
      </c>
      <c r="DE27" s="188">
        <f t="shared" si="316"/>
        <v>-0.3</v>
      </c>
      <c r="DF27" s="188">
        <f t="shared" si="317"/>
        <v>-0.3</v>
      </c>
      <c r="DG27" s="188">
        <f t="shared" si="318"/>
        <v>-0.3</v>
      </c>
      <c r="DH27" s="188">
        <f t="shared" si="319"/>
        <v>-0.3</v>
      </c>
      <c r="DI27" s="188">
        <f t="shared" si="320"/>
        <v>-0.3</v>
      </c>
      <c r="DJ27" s="188">
        <f t="shared" si="321"/>
        <v>-0.3</v>
      </c>
      <c r="DK27" s="188">
        <f t="shared" si="322"/>
        <v>-0.3</v>
      </c>
      <c r="DL27" s="188">
        <f t="shared" si="323"/>
        <v>-0.3</v>
      </c>
      <c r="DM27" s="188">
        <f t="shared" si="324"/>
        <v>-0.3</v>
      </c>
      <c r="DN27" s="189">
        <f t="shared" si="325"/>
        <v>0.70000000000000018</v>
      </c>
      <c r="DO27" s="189">
        <f t="shared" si="326"/>
        <v>0</v>
      </c>
      <c r="DP27" s="189">
        <f t="shared" si="327"/>
        <v>0</v>
      </c>
      <c r="DQ27" s="189">
        <f t="shared" si="328"/>
        <v>0</v>
      </c>
      <c r="DR27" s="189">
        <f t="shared" si="329"/>
        <v>0</v>
      </c>
      <c r="DS27" s="189">
        <f t="shared" si="330"/>
        <v>0</v>
      </c>
      <c r="DT27" s="189">
        <f t="shared" si="331"/>
        <v>0</v>
      </c>
      <c r="DU27" s="189">
        <f t="shared" si="332"/>
        <v>0</v>
      </c>
      <c r="DV27" s="189">
        <f t="shared" si="333"/>
        <v>0</v>
      </c>
      <c r="DW27" s="189">
        <f t="shared" si="334"/>
        <v>0</v>
      </c>
      <c r="DX27" s="54"/>
      <c r="DY27" s="54"/>
      <c r="DZ27" s="199">
        <f t="shared" ca="1" si="237"/>
        <v>61067.089001447181</v>
      </c>
      <c r="EA27" s="200">
        <f t="shared" si="335"/>
        <v>1</v>
      </c>
      <c r="EB27" s="201">
        <f t="shared" ca="1" si="238"/>
        <v>44915.824220380346</v>
      </c>
      <c r="EC27" s="200">
        <f t="shared" si="336"/>
        <v>1</v>
      </c>
      <c r="ED27" s="201" cm="1">
        <f t="array" ref="ED27">IF(LEFT($AG27,3)="Res",IF(OR($DN27&gt;External_Threshold,$DD27&gt;0),1*Uplift*AWE*(External),0),0)</f>
        <v>15481.186685962373</v>
      </c>
      <c r="EE27" s="200">
        <f t="shared" si="337"/>
        <v>1</v>
      </c>
      <c r="EF27" s="201">
        <f t="shared" si="239"/>
        <v>0</v>
      </c>
      <c r="EG27" s="203">
        <f t="shared" si="338"/>
        <v>0</v>
      </c>
      <c r="EH27" s="199">
        <f t="shared" ca="1" si="240"/>
        <v>0</v>
      </c>
      <c r="EI27" s="200">
        <f t="shared" si="241"/>
        <v>0</v>
      </c>
      <c r="EJ27" s="201">
        <f t="shared" ca="1" si="242"/>
        <v>0</v>
      </c>
      <c r="EK27" s="200">
        <f t="shared" si="243"/>
        <v>0</v>
      </c>
      <c r="EL27" s="201" cm="1">
        <f t="array" ref="EL27">IF(LEFT($AG27,3)="Res",IF(OR($DO27&gt;External_Threshold,$DE27&gt;0),1*Uplift*AWE*(External),0),0)</f>
        <v>0</v>
      </c>
      <c r="EM27" s="200">
        <f t="shared" si="244"/>
        <v>0</v>
      </c>
      <c r="EN27" s="201">
        <f t="shared" si="245"/>
        <v>0</v>
      </c>
      <c r="EO27" s="203">
        <f t="shared" si="339"/>
        <v>0</v>
      </c>
      <c r="EP27" s="199">
        <f t="shared" ca="1" si="246"/>
        <v>0</v>
      </c>
      <c r="EQ27" s="200">
        <f t="shared" si="247"/>
        <v>0</v>
      </c>
      <c r="ER27" s="201">
        <f t="shared" ca="1" si="248"/>
        <v>0</v>
      </c>
      <c r="ES27" s="200">
        <f t="shared" si="249"/>
        <v>0</v>
      </c>
      <c r="ET27" s="201" cm="1">
        <f t="array" ref="ET27">IF(LEFT($AG27,3)="Res",IF(OR($DP27&gt;External_Threshold,$DF27&gt;0),1*Uplift*AWE*(External),0),0)</f>
        <v>0</v>
      </c>
      <c r="EU27" s="200">
        <f t="shared" si="250"/>
        <v>0</v>
      </c>
      <c r="EV27" s="201">
        <f t="shared" si="251"/>
        <v>0</v>
      </c>
      <c r="EW27" s="203">
        <f t="shared" si="340"/>
        <v>0</v>
      </c>
      <c r="EX27" s="199">
        <f t="shared" ca="1" si="252"/>
        <v>0</v>
      </c>
      <c r="EY27" s="200">
        <f t="shared" si="253"/>
        <v>0</v>
      </c>
      <c r="EZ27" s="201">
        <f t="shared" ca="1" si="254"/>
        <v>0</v>
      </c>
      <c r="FA27" s="200">
        <f t="shared" si="255"/>
        <v>0</v>
      </c>
      <c r="FB27" s="201" cm="1">
        <f t="array" ref="FB27">IF(LEFT($AG27,3)="Res",IF(OR($DQ27&gt;External_Threshold,$DG27&gt;0),1*Uplift*AWE*(External),0),0)</f>
        <v>0</v>
      </c>
      <c r="FC27" s="200">
        <f t="shared" si="256"/>
        <v>0</v>
      </c>
      <c r="FD27" s="201">
        <f t="shared" si="257"/>
        <v>0</v>
      </c>
      <c r="FE27" s="203">
        <f t="shared" si="341"/>
        <v>0</v>
      </c>
      <c r="FF27" s="199">
        <f t="shared" ca="1" si="258"/>
        <v>0</v>
      </c>
      <c r="FG27" s="200">
        <f t="shared" si="259"/>
        <v>0</v>
      </c>
      <c r="FH27" s="201">
        <f t="shared" ca="1" si="260"/>
        <v>0</v>
      </c>
      <c r="FI27" s="200">
        <f t="shared" si="261"/>
        <v>0</v>
      </c>
      <c r="FJ27" s="201" cm="1">
        <f t="array" ref="FJ27">IF(LEFT($AG27,3)="Res",IF(OR($DR27&gt;External_Threshold,$DH27&gt;0),1*Uplift*AWE*(External),0),0)</f>
        <v>0</v>
      </c>
      <c r="FK27" s="200">
        <f t="shared" si="262"/>
        <v>0</v>
      </c>
      <c r="FL27" s="201">
        <f t="shared" si="263"/>
        <v>0</v>
      </c>
      <c r="FM27" s="203">
        <f t="shared" si="342"/>
        <v>0</v>
      </c>
      <c r="FN27" s="199">
        <f t="shared" ca="1" si="264"/>
        <v>0</v>
      </c>
      <c r="FO27" s="200">
        <f t="shared" si="265"/>
        <v>0</v>
      </c>
      <c r="FP27" s="201">
        <f t="shared" ca="1" si="266"/>
        <v>0</v>
      </c>
      <c r="FQ27" s="200">
        <f t="shared" si="267"/>
        <v>0</v>
      </c>
      <c r="FR27" s="201" cm="1">
        <f t="array" ref="FR27">IF(LEFT($AG27,3)="Res",IF(OR($DS27&gt;External_Threshold,$DI27&gt;0),1*Uplift*AWE*(External),0),0)</f>
        <v>0</v>
      </c>
      <c r="FS27" s="200">
        <f t="shared" si="268"/>
        <v>0</v>
      </c>
      <c r="FT27" s="201">
        <f t="shared" si="269"/>
        <v>0</v>
      </c>
      <c r="FU27" s="203">
        <f t="shared" si="343"/>
        <v>0</v>
      </c>
      <c r="FV27" s="199">
        <f t="shared" ca="1" si="270"/>
        <v>0</v>
      </c>
      <c r="FW27" s="200">
        <f t="shared" si="271"/>
        <v>0</v>
      </c>
      <c r="FX27" s="201">
        <f t="shared" ca="1" si="272"/>
        <v>0</v>
      </c>
      <c r="FY27" s="200">
        <f t="shared" si="273"/>
        <v>0</v>
      </c>
      <c r="FZ27" s="201" cm="1">
        <f t="array" ref="FZ27">IF(LEFT($AG27,3)="Res",IF(OR($DT27&gt;External_Threshold,$DJ27&gt;0),1*Uplift*AWE*(External),0),0)</f>
        <v>0</v>
      </c>
      <c r="GA27" s="200">
        <f t="shared" si="274"/>
        <v>0</v>
      </c>
      <c r="GB27" s="201">
        <f t="shared" si="275"/>
        <v>0</v>
      </c>
      <c r="GC27" s="203">
        <f t="shared" si="344"/>
        <v>0</v>
      </c>
      <c r="GD27" s="199">
        <f t="shared" ca="1" si="276"/>
        <v>0</v>
      </c>
      <c r="GE27" s="200">
        <f t="shared" si="277"/>
        <v>0</v>
      </c>
      <c r="GF27" s="201">
        <f t="shared" ca="1" si="278"/>
        <v>0</v>
      </c>
      <c r="GG27" s="200">
        <f t="shared" si="279"/>
        <v>0</v>
      </c>
      <c r="GH27" s="201" cm="1">
        <f t="array" ref="GH27">IF(LEFT($AG27,3)="Res",IF(OR($DU27&gt;External_Threshold,$DK27&gt;0),1*Uplift*AWE*(External),0),0)</f>
        <v>0</v>
      </c>
      <c r="GI27" s="200">
        <f t="shared" si="280"/>
        <v>0</v>
      </c>
      <c r="GJ27" s="201">
        <f t="shared" si="281"/>
        <v>0</v>
      </c>
      <c r="GK27" s="203">
        <f t="shared" si="345"/>
        <v>0</v>
      </c>
      <c r="GL27" s="199">
        <f t="shared" ca="1" si="282"/>
        <v>0</v>
      </c>
      <c r="GM27" s="200">
        <f t="shared" si="283"/>
        <v>0</v>
      </c>
      <c r="GN27" s="201">
        <f t="shared" ca="1" si="284"/>
        <v>0</v>
      </c>
      <c r="GO27" s="200">
        <f t="shared" si="285"/>
        <v>0</v>
      </c>
      <c r="GP27" s="201" cm="1">
        <f t="array" ref="GP27">IF(LEFT($AG27,3)="Res",IF(OR($DV27&gt;External_Threshold,$DL27&gt;0),1*Uplift*AWE*(External),0),0)</f>
        <v>0</v>
      </c>
      <c r="GQ27" s="200">
        <f t="shared" si="286"/>
        <v>0</v>
      </c>
      <c r="GR27" s="201">
        <f t="shared" si="287"/>
        <v>0</v>
      </c>
      <c r="GS27" s="203">
        <f t="shared" si="346"/>
        <v>0</v>
      </c>
      <c r="GT27" s="199">
        <f t="shared" ca="1" si="288"/>
        <v>0</v>
      </c>
      <c r="GU27" s="200">
        <f t="shared" si="289"/>
        <v>0</v>
      </c>
      <c r="GV27" s="201">
        <f t="shared" ca="1" si="290"/>
        <v>0</v>
      </c>
      <c r="GW27" s="200">
        <f t="shared" si="291"/>
        <v>0</v>
      </c>
      <c r="GX27" s="201" cm="1">
        <f t="array" ref="GX27">IF(LEFT($AG27,3)="Res",IF(OR($DW27&gt;External_Threshold,$DM27&gt;0),1*Uplift*AWE*(External),0),0)</f>
        <v>0</v>
      </c>
      <c r="GY27" s="200">
        <f t="shared" si="292"/>
        <v>0</v>
      </c>
      <c r="GZ27" s="201">
        <f t="shared" si="293"/>
        <v>0</v>
      </c>
      <c r="HA27" s="203">
        <f t="shared" si="347"/>
        <v>0</v>
      </c>
      <c r="HB27" s="54"/>
      <c r="HC27" s="54"/>
      <c r="HD27" s="54"/>
      <c r="HE27" s="54"/>
      <c r="HF27" s="54"/>
      <c r="HG27" s="201">
        <f t="shared" ca="1" si="348"/>
        <v>121464.0999077899</v>
      </c>
      <c r="HH27" s="201">
        <f t="shared" ca="1" si="349"/>
        <v>0</v>
      </c>
      <c r="HI27" s="201">
        <f t="shared" ca="1" si="350"/>
        <v>0</v>
      </c>
      <c r="HJ27" s="201">
        <f t="shared" ca="1" si="351"/>
        <v>0</v>
      </c>
      <c r="HK27" s="201">
        <f t="shared" ca="1" si="352"/>
        <v>0</v>
      </c>
      <c r="HL27" s="201">
        <f t="shared" ca="1" si="353"/>
        <v>0</v>
      </c>
      <c r="HM27" s="201">
        <f t="shared" ca="1" si="354"/>
        <v>0</v>
      </c>
      <c r="HN27" s="201">
        <f t="shared" ca="1" si="355"/>
        <v>0</v>
      </c>
      <c r="HO27" s="201">
        <f t="shared" ca="1" si="356"/>
        <v>0</v>
      </c>
      <c r="HP27" s="201">
        <f t="shared" ca="1" si="357"/>
        <v>0</v>
      </c>
      <c r="HQ27" s="54"/>
    </row>
    <row r="28" spans="1:228" x14ac:dyDescent="0.3">
      <c r="A28" s="513">
        <v>10</v>
      </c>
      <c r="B28" s="514" t="s">
        <v>218</v>
      </c>
      <c r="C28" s="514" t="s">
        <v>390</v>
      </c>
      <c r="D28" s="514" t="s">
        <v>390</v>
      </c>
      <c r="E28" s="513">
        <v>1</v>
      </c>
      <c r="F28" s="515">
        <v>4.99</v>
      </c>
      <c r="G28" s="515">
        <v>4.75</v>
      </c>
      <c r="H28" s="513">
        <v>2</v>
      </c>
      <c r="I28" s="517">
        <v>1</v>
      </c>
      <c r="J28" s="518" t="s">
        <v>137</v>
      </c>
      <c r="K28" s="513">
        <f t="shared" si="204"/>
        <v>160</v>
      </c>
      <c r="L28" s="519">
        <v>8.3499999999999961</v>
      </c>
      <c r="M28" s="519">
        <v>6.5699999999999994</v>
      </c>
      <c r="N28" s="519">
        <v>6.27</v>
      </c>
      <c r="O28" s="519">
        <v>5.97</v>
      </c>
      <c r="P28" s="519">
        <v>5.47</v>
      </c>
      <c r="Q28" s="519">
        <v>5</v>
      </c>
      <c r="R28" s="519">
        <v>4.2</v>
      </c>
      <c r="S28" s="519">
        <v>0</v>
      </c>
      <c r="T28" s="519">
        <v>0</v>
      </c>
      <c r="U28" s="519">
        <v>0</v>
      </c>
      <c r="V28" s="536"/>
      <c r="W28" s="536"/>
      <c r="X28" s="536"/>
      <c r="Y28" s="536"/>
      <c r="Z28" s="536"/>
      <c r="AA28" s="536"/>
      <c r="AB28" s="536"/>
      <c r="AC28" s="536"/>
      <c r="AD28" s="536"/>
      <c r="AE28" s="536"/>
      <c r="AF28" s="54"/>
      <c r="AG28" s="204" t="str">
        <f>IF(AND($H28&lt;=4),"Res","Com")&amp;IF($H28=3,1,IF($H28=4,2,IF($H28&gt;4,1,IF($E28&lt;=1,1,2))))</f>
        <v>Res1</v>
      </c>
      <c r="AH28" s="204">
        <f t="shared" si="294"/>
        <v>7</v>
      </c>
      <c r="AI28" s="204">
        <f t="shared" si="205"/>
        <v>1</v>
      </c>
      <c r="AJ28" s="54"/>
      <c r="AK28" s="74">
        <f>IFERROR(IF(H28&gt;4,0,AI28*Inputs!$C$55),0)</f>
        <v>2.6</v>
      </c>
      <c r="AL28" s="81">
        <f>IFERROR(Inputs!$C$73,0)</f>
        <v>5</v>
      </c>
      <c r="AM28" s="211">
        <f>IFERROR(Inputs!$C$74,0)</f>
        <v>0.24299999999999999</v>
      </c>
      <c r="AN28" s="446">
        <f>IFERROR(HLOOKUP(HLOOKUP(AN$17,$V$18:$AE28,COUNTA($AK$18:$AK28),FALSE),Inputs!$B$58:$H$59,2,FALSE),0)</f>
        <v>0</v>
      </c>
      <c r="AO28" s="447">
        <f t="shared" si="295"/>
        <v>0</v>
      </c>
      <c r="AP28" s="447">
        <f t="shared" si="296"/>
        <v>0</v>
      </c>
      <c r="AQ28" s="446">
        <f>IFERROR(HLOOKUP(HLOOKUP(AQ$17,$V$18:$AE28,COUNTA($AK$18:$AK28),FALSE),Inputs!$B$58:$H$59,2,FALSE),0)</f>
        <v>0</v>
      </c>
      <c r="AR28" s="447">
        <f t="shared" ref="AR28" si="446">2*$AK28*AQ28*$AL28/100*$AM28</f>
        <v>0</v>
      </c>
      <c r="AS28" s="447">
        <f t="shared" si="298"/>
        <v>0</v>
      </c>
      <c r="AT28" s="446">
        <f>IFERROR(HLOOKUP(HLOOKUP(AT$17,$V$18:$AE28,COUNTA($AK$18:$AK28),FALSE),Inputs!$B$58:$H$59,2,FALSE),0)</f>
        <v>0</v>
      </c>
      <c r="AU28" s="447">
        <f t="shared" ref="AU28" si="447">2*$AK28*AT28*$AL28/100*$AM28</f>
        <v>0</v>
      </c>
      <c r="AV28" s="447">
        <f t="shared" si="300"/>
        <v>0</v>
      </c>
      <c r="AW28" s="446">
        <f>IFERROR(HLOOKUP(HLOOKUP(AW$17,$V$18:$AE28,COUNTA($AK$18:$AK28),FALSE),Inputs!$B$58:$H$59,2,FALSE),0)</f>
        <v>0</v>
      </c>
      <c r="AX28" s="447">
        <f t="shared" ref="AX28" si="448">2*$AK28*AW28*$AL28/100*$AM28</f>
        <v>0</v>
      </c>
      <c r="AY28" s="447">
        <f t="shared" si="302"/>
        <v>0</v>
      </c>
      <c r="AZ28" s="446">
        <f>IFERROR(HLOOKUP(HLOOKUP(AZ$17,$V$18:$AE28,COUNTA($AK$18:$AK28),FALSE),Inputs!$B$58:$H$59,2,FALSE),0)</f>
        <v>0</v>
      </c>
      <c r="BA28" s="447">
        <f t="shared" ref="BA28" si="449">2*$AK28*AZ28*$AL28/100*$AM28</f>
        <v>0</v>
      </c>
      <c r="BB28" s="447">
        <f t="shared" si="304"/>
        <v>0</v>
      </c>
      <c r="BC28" s="446">
        <f>IFERROR(HLOOKUP(HLOOKUP(BC$17,$V$18:$AE28,COUNTA($AK$18:$AK28),FALSE),Inputs!$B$58:$H$59,2,FALSE),0)</f>
        <v>0</v>
      </c>
      <c r="BD28" s="447">
        <f t="shared" ref="BD28" si="450">2*$AK28*BC28*$AL28/100*$AM28</f>
        <v>0</v>
      </c>
      <c r="BE28" s="447">
        <f t="shared" si="306"/>
        <v>0</v>
      </c>
      <c r="BF28" s="446">
        <f>IFERROR(HLOOKUP(HLOOKUP(BF$17,$V$18:$AE28,COUNTA($AK$18:$AK28),FALSE),Inputs!$B$58:$H$59,2,FALSE),0)</f>
        <v>0</v>
      </c>
      <c r="BG28" s="447">
        <f t="shared" ref="BG28" si="451">2*$AK28*BF28*$AL28/100*$AM28</f>
        <v>0</v>
      </c>
      <c r="BH28" s="447">
        <f t="shared" si="308"/>
        <v>0</v>
      </c>
      <c r="BI28" s="446">
        <f>IFERROR(HLOOKUP(HLOOKUP(BI$17,$V$18:$AE28,COUNTA($AK$18:$AK28),FALSE),Inputs!$B$58:$H$59,2,FALSE),0)</f>
        <v>0</v>
      </c>
      <c r="BJ28" s="447">
        <f t="shared" ref="BJ28" si="452">2*$AK28*BI28*$AL28/100*$AM28</f>
        <v>0</v>
      </c>
      <c r="BK28" s="447">
        <f t="shared" si="310"/>
        <v>0</v>
      </c>
      <c r="BL28" s="446">
        <f>IFERROR(HLOOKUP(HLOOKUP(BL$17,$V$18:$AE28,COUNTA($AK$18:$AK28),FALSE),Inputs!$B$58:$H$59,2,FALSE),0)</f>
        <v>0</v>
      </c>
      <c r="BM28" s="447">
        <f t="shared" ref="BM28" si="453">2*$AK28*BL28*$AL28/100*$AM28</f>
        <v>0</v>
      </c>
      <c r="BN28" s="447">
        <f t="shared" si="312"/>
        <v>0</v>
      </c>
      <c r="BO28" s="446">
        <f>IFERROR(HLOOKUP(HLOOKUP(BO$17,$V$18:$AE28,COUNTA($AK$18:$AK28),FALSE),Inputs!$B$58:$H$59,2,FALSE),0)</f>
        <v>0</v>
      </c>
      <c r="BP28" s="447">
        <f t="shared" ref="BP28" si="454">2*$AK28*BO28*$AL28/100*$AM28</f>
        <v>0</v>
      </c>
      <c r="BQ28" s="447">
        <f t="shared" si="314"/>
        <v>0</v>
      </c>
      <c r="BR28" s="54"/>
      <c r="BS28" s="103">
        <f t="shared" ca="1" si="224"/>
        <v>4124.3194600470333</v>
      </c>
      <c r="BT28" s="103">
        <f t="shared" ca="1" si="396"/>
        <v>3059.1732662785275</v>
      </c>
      <c r="BU28" s="103">
        <f t="shared" si="397"/>
        <v>1160.9341895803186</v>
      </c>
      <c r="BV28" s="103">
        <f t="shared" si="398"/>
        <v>0</v>
      </c>
      <c r="BW28" s="152">
        <f t="shared" ca="1" si="399"/>
        <v>8344.4269159058804</v>
      </c>
      <c r="BX28" s="441"/>
      <c r="BY28" s="96" t="str">
        <f>TEXT($O$10,"0%")&amp;" AEP"</f>
        <v>1% AEP</v>
      </c>
      <c r="BZ28" s="355">
        <f t="shared" ref="BZ28" si="455">SUM(BZ29:BZ30)</f>
        <v>49</v>
      </c>
      <c r="CA28" s="92">
        <f t="shared" ref="CA28" si="456">MAX(CA29:CA30)</f>
        <v>2.2199999999999998</v>
      </c>
      <c r="CB28" s="93">
        <f ca="1">$EX$15</f>
        <v>5115954.6597640775</v>
      </c>
      <c r="CC28" s="93">
        <f ca="1">$EX$14</f>
        <v>104407.23795436893</v>
      </c>
      <c r="CD28" s="54"/>
      <c r="CE28" s="96" t="str">
        <f>TEXT($O$10,"0%")&amp;" AEP"</f>
        <v>1% AEP</v>
      </c>
      <c r="CF28" s="355">
        <f t="shared" ref="CF28" si="457">SUM(CF29:CF30)</f>
        <v>49</v>
      </c>
      <c r="CG28" s="92">
        <f t="shared" ref="CG28" si="458">MAX(CG29:CG30)</f>
        <v>2.2199999999999998</v>
      </c>
      <c r="CH28" s="93">
        <f ca="1">$EZ$15</f>
        <v>3057157.6931859944</v>
      </c>
      <c r="CI28" s="93">
        <f ca="1">$EZ$14</f>
        <v>62390.973330326415</v>
      </c>
      <c r="CJ28" s="54"/>
      <c r="CK28" s="96" t="str">
        <f>TEXT($O$10,"0%")&amp;" AEP"</f>
        <v>1% AEP</v>
      </c>
      <c r="CL28" s="355">
        <f t="shared" ref="CL28" si="459">SUM(CL29:CL30)</f>
        <v>76</v>
      </c>
      <c r="CM28" s="92">
        <f t="shared" ref="CM28" si="460">MAX(CM29:CM30)</f>
        <v>2.83</v>
      </c>
      <c r="CN28" s="93">
        <f>$FB$15</f>
        <v>885523.87843704771</v>
      </c>
      <c r="CO28" s="93">
        <f>$FB$14</f>
        <v>11651.629979434838</v>
      </c>
      <c r="CP28" s="54"/>
      <c r="CQ28" s="96" t="str">
        <f>TEXT($O$10,"0%")&amp;" AEP"</f>
        <v>1% AEP</v>
      </c>
      <c r="CR28" s="355">
        <f t="shared" ref="CR28" si="461">SUM(CR29:CR30)</f>
        <v>49</v>
      </c>
      <c r="CS28" s="92">
        <f t="shared" ref="CS28" si="462">MAX(CS29:CS30)</f>
        <v>2.2199999999999998</v>
      </c>
      <c r="CT28" s="93">
        <f>$FD$15</f>
        <v>0</v>
      </c>
      <c r="CU28" s="93" t="str">
        <f>$FD$14</f>
        <v>--</v>
      </c>
      <c r="CV28" s="54"/>
      <c r="CW28" s="96" t="str">
        <f>TEXT($O$10,"0%")&amp;" AEP"</f>
        <v>1% AEP</v>
      </c>
      <c r="CX28" s="355">
        <f t="shared" ref="CX28" si="463">SUM(CX29:CX30)</f>
        <v>49</v>
      </c>
      <c r="CY28" s="92">
        <f t="shared" ref="CY28" si="464">MAX(CY29:CY30)</f>
        <v>2.2199999999999998</v>
      </c>
      <c r="CZ28" s="93">
        <f ca="1">SUM(DetailedStructural[[#This Row],[Total Damages]],DetailedInternal[[#This Row],[Total Damages]],DetailedExternal[[#This Row],[Total Damages]],DetailedRiskToLife[[#This Row],[Total Damages]])</f>
        <v>9058636.2313871197</v>
      </c>
      <c r="DA28" s="93">
        <f ca="1">SUM(DetailedStructural[[#This Row],[AAD per Property]],DetailedInternal[[#This Row],[AAD per Property]],DetailedExternal[[#This Row],[AAD per Property]],DetailedRiskToLife[[#This Row],[AAD per Property]])</f>
        <v>178449.84126413017</v>
      </c>
      <c r="DB28" s="54"/>
      <c r="DC28" s="54"/>
      <c r="DD28" s="188">
        <f t="shared" si="315"/>
        <v>3.3599999999999959</v>
      </c>
      <c r="DE28" s="188">
        <f t="shared" si="316"/>
        <v>1.5799999999999992</v>
      </c>
      <c r="DF28" s="188">
        <f t="shared" si="317"/>
        <v>1.2799999999999994</v>
      </c>
      <c r="DG28" s="188">
        <f t="shared" si="318"/>
        <v>0.97999999999999954</v>
      </c>
      <c r="DH28" s="188">
        <f t="shared" si="319"/>
        <v>0.47999999999999954</v>
      </c>
      <c r="DI28" s="188">
        <f t="shared" si="320"/>
        <v>9.9999999999997868E-3</v>
      </c>
      <c r="DJ28" s="188">
        <f t="shared" si="321"/>
        <v>-0.3</v>
      </c>
      <c r="DK28" s="188">
        <f t="shared" si="322"/>
        <v>-0.3</v>
      </c>
      <c r="DL28" s="188">
        <f t="shared" si="323"/>
        <v>-0.3</v>
      </c>
      <c r="DM28" s="188">
        <f t="shared" si="324"/>
        <v>-0.3</v>
      </c>
      <c r="DN28" s="189">
        <f t="shared" si="325"/>
        <v>3.5999999999999961</v>
      </c>
      <c r="DO28" s="189">
        <f t="shared" si="326"/>
        <v>1.8199999999999994</v>
      </c>
      <c r="DP28" s="189">
        <f t="shared" si="327"/>
        <v>1.5199999999999996</v>
      </c>
      <c r="DQ28" s="189">
        <f t="shared" si="328"/>
        <v>1.2199999999999998</v>
      </c>
      <c r="DR28" s="189">
        <f t="shared" si="329"/>
        <v>0.71999999999999975</v>
      </c>
      <c r="DS28" s="189">
        <f t="shared" si="330"/>
        <v>0.25</v>
      </c>
      <c r="DT28" s="189">
        <f t="shared" si="331"/>
        <v>0</v>
      </c>
      <c r="DU28" s="189">
        <f t="shared" si="332"/>
        <v>0</v>
      </c>
      <c r="DV28" s="189">
        <f t="shared" si="333"/>
        <v>0</v>
      </c>
      <c r="DW28" s="189">
        <f t="shared" si="334"/>
        <v>0</v>
      </c>
      <c r="DX28" s="54"/>
      <c r="DY28" s="54"/>
      <c r="DZ28" s="199">
        <f t="shared" ca="1" si="237"/>
        <v>191901.34989548157</v>
      </c>
      <c r="EA28" s="200">
        <f t="shared" si="335"/>
        <v>1</v>
      </c>
      <c r="EB28" s="201">
        <f t="shared" ca="1" si="238"/>
        <v>119744.47128786275</v>
      </c>
      <c r="EC28" s="200">
        <f t="shared" si="336"/>
        <v>1</v>
      </c>
      <c r="ED28" s="201" cm="1">
        <f t="array" ref="ED28">IF(LEFT($AG28,3)="Res",IF(OR($DN28&gt;External_Threshold,$DD28&gt;0),1*Uplift*AWE*(External),0),0)</f>
        <v>15481.186685962373</v>
      </c>
      <c r="EE28" s="200">
        <f t="shared" si="337"/>
        <v>1</v>
      </c>
      <c r="EF28" s="201">
        <f t="shared" si="239"/>
        <v>0</v>
      </c>
      <c r="EG28" s="203">
        <f t="shared" si="338"/>
        <v>0</v>
      </c>
      <c r="EH28" s="199">
        <f t="shared" ca="1" si="240"/>
        <v>136662.06761537225</v>
      </c>
      <c r="EI28" s="200">
        <f t="shared" si="241"/>
        <v>1</v>
      </c>
      <c r="EJ28" s="201">
        <f t="shared" ca="1" si="242"/>
        <v>113407.86762685236</v>
      </c>
      <c r="EK28" s="200">
        <f t="shared" si="243"/>
        <v>1</v>
      </c>
      <c r="EL28" s="201" cm="1">
        <f t="array" ref="EL28">IF(LEFT($AG28,3)="Res",IF(OR($DO28&gt;External_Threshold,$DE28&gt;0),1*Uplift*AWE*(External),0),0)</f>
        <v>15481.186685962373</v>
      </c>
      <c r="EM28" s="200">
        <f t="shared" si="244"/>
        <v>1</v>
      </c>
      <c r="EN28" s="201">
        <f t="shared" si="245"/>
        <v>0</v>
      </c>
      <c r="EO28" s="203">
        <f t="shared" si="339"/>
        <v>0</v>
      </c>
      <c r="EP28" s="199">
        <f t="shared" ca="1" si="246"/>
        <v>125006.4541726966</v>
      </c>
      <c r="EQ28" s="200">
        <f t="shared" si="247"/>
        <v>1</v>
      </c>
      <c r="ER28" s="201">
        <f t="shared" ca="1" si="248"/>
        <v>108433.10518444965</v>
      </c>
      <c r="ES28" s="200">
        <f t="shared" si="249"/>
        <v>1</v>
      </c>
      <c r="ET28" s="201" cm="1">
        <f t="array" ref="ET28">IF(LEFT($AG28,3)="Res",IF(OR($DP28&gt;External_Threshold,$DF28&gt;0),1*Uplift*AWE*(External),0),0)</f>
        <v>15481.186685962373</v>
      </c>
      <c r="EU28" s="200">
        <f t="shared" si="250"/>
        <v>1</v>
      </c>
      <c r="EV28" s="201">
        <f t="shared" si="251"/>
        <v>0</v>
      </c>
      <c r="EW28" s="203">
        <f t="shared" si="340"/>
        <v>0</v>
      </c>
      <c r="EX28" s="199">
        <f t="shared" ca="1" si="252"/>
        <v>109271.37602508442</v>
      </c>
      <c r="EY28" s="200">
        <f t="shared" si="253"/>
        <v>1</v>
      </c>
      <c r="EZ28" s="201">
        <f t="shared" ca="1" si="254"/>
        <v>103458.34274204698</v>
      </c>
      <c r="FA28" s="200">
        <f t="shared" si="255"/>
        <v>1</v>
      </c>
      <c r="FB28" s="201" cm="1">
        <f t="array" ref="FB28">IF(LEFT($AG28,3)="Res",IF(OR($DQ28&gt;External_Threshold,$DG28&gt;0),1*Uplift*AWE*(External),0),0)</f>
        <v>15481.186685962373</v>
      </c>
      <c r="FC28" s="200">
        <f t="shared" si="256"/>
        <v>1</v>
      </c>
      <c r="FD28" s="201">
        <f t="shared" si="257"/>
        <v>0</v>
      </c>
      <c r="FE28" s="203">
        <f t="shared" si="341"/>
        <v>0</v>
      </c>
      <c r="FF28" s="199">
        <f t="shared" ca="1" si="258"/>
        <v>99905.258080077183</v>
      </c>
      <c r="FG28" s="200">
        <f t="shared" si="259"/>
        <v>1</v>
      </c>
      <c r="FH28" s="201">
        <f t="shared" ca="1" si="260"/>
        <v>72370.244815747836</v>
      </c>
      <c r="FI28" s="200">
        <f t="shared" si="261"/>
        <v>1</v>
      </c>
      <c r="FJ28" s="201" cm="1">
        <f t="array" ref="FJ28">IF(LEFT($AG28,3)="Res",IF(OR($DR28&gt;External_Threshold,$DH28&gt;0),1*Uplift*AWE*(External),0),0)</f>
        <v>15481.186685962373</v>
      </c>
      <c r="FK28" s="200">
        <f t="shared" si="262"/>
        <v>1</v>
      </c>
      <c r="FL28" s="201">
        <f t="shared" si="263"/>
        <v>0</v>
      </c>
      <c r="FM28" s="203">
        <f t="shared" si="342"/>
        <v>0</v>
      </c>
      <c r="FN28" s="199">
        <f t="shared" ca="1" si="264"/>
        <v>6868.4864930053063</v>
      </c>
      <c r="FO28" s="200">
        <f t="shared" si="265"/>
        <v>1</v>
      </c>
      <c r="FP28" s="201">
        <f t="shared" ca="1" si="266"/>
        <v>0</v>
      </c>
      <c r="FQ28" s="200">
        <f t="shared" si="267"/>
        <v>1</v>
      </c>
      <c r="FR28" s="201" cm="1">
        <f t="array" ref="FR28">IF(LEFT($AG28,3)="Res",IF(OR($DS28&gt;External_Threshold,$DI28&gt;0),1*Uplift*AWE*(External),0),0)</f>
        <v>15481.186685962373</v>
      </c>
      <c r="FS28" s="200">
        <f t="shared" si="268"/>
        <v>1</v>
      </c>
      <c r="FT28" s="201">
        <f t="shared" si="269"/>
        <v>0</v>
      </c>
      <c r="FU28" s="203">
        <f t="shared" si="343"/>
        <v>0</v>
      </c>
      <c r="FV28" s="199">
        <f t="shared" ca="1" si="270"/>
        <v>0</v>
      </c>
      <c r="FW28" s="200">
        <f t="shared" si="271"/>
        <v>0</v>
      </c>
      <c r="FX28" s="201">
        <f t="shared" ca="1" si="272"/>
        <v>0</v>
      </c>
      <c r="FY28" s="200">
        <f t="shared" si="273"/>
        <v>0</v>
      </c>
      <c r="FZ28" s="201" cm="1">
        <f t="array" ref="FZ28">IF(LEFT($AG28,3)="Res",IF(OR($DT28&gt;External_Threshold,$DJ28&gt;0),1*Uplift*AWE*(External),0),0)</f>
        <v>0</v>
      </c>
      <c r="GA28" s="200">
        <f t="shared" si="274"/>
        <v>0</v>
      </c>
      <c r="GB28" s="201">
        <f t="shared" si="275"/>
        <v>0</v>
      </c>
      <c r="GC28" s="203">
        <f t="shared" si="344"/>
        <v>0</v>
      </c>
      <c r="GD28" s="199">
        <f t="shared" ca="1" si="276"/>
        <v>0</v>
      </c>
      <c r="GE28" s="200">
        <f t="shared" si="277"/>
        <v>0</v>
      </c>
      <c r="GF28" s="201">
        <f t="shared" ca="1" si="278"/>
        <v>0</v>
      </c>
      <c r="GG28" s="200">
        <f t="shared" si="279"/>
        <v>0</v>
      </c>
      <c r="GH28" s="201" cm="1">
        <f t="array" ref="GH28">IF(LEFT($AG28,3)="Res",IF(OR($DU28&gt;External_Threshold,$DK28&gt;0),1*Uplift*AWE*(External),0),0)</f>
        <v>0</v>
      </c>
      <c r="GI28" s="200">
        <f t="shared" si="280"/>
        <v>0</v>
      </c>
      <c r="GJ28" s="201">
        <f t="shared" si="281"/>
        <v>0</v>
      </c>
      <c r="GK28" s="203">
        <f t="shared" si="345"/>
        <v>0</v>
      </c>
      <c r="GL28" s="199">
        <f t="shared" ca="1" si="282"/>
        <v>0</v>
      </c>
      <c r="GM28" s="200">
        <f t="shared" si="283"/>
        <v>0</v>
      </c>
      <c r="GN28" s="201">
        <f t="shared" ca="1" si="284"/>
        <v>0</v>
      </c>
      <c r="GO28" s="200">
        <f t="shared" si="285"/>
        <v>0</v>
      </c>
      <c r="GP28" s="201" cm="1">
        <f t="array" ref="GP28">IF(LEFT($AG28,3)="Res",IF(OR($DV28&gt;External_Threshold,$DL28&gt;0),1*Uplift*AWE*(External),0),0)</f>
        <v>0</v>
      </c>
      <c r="GQ28" s="200">
        <f t="shared" si="286"/>
        <v>0</v>
      </c>
      <c r="GR28" s="201">
        <f t="shared" si="287"/>
        <v>0</v>
      </c>
      <c r="GS28" s="203">
        <f t="shared" si="346"/>
        <v>0</v>
      </c>
      <c r="GT28" s="199">
        <f t="shared" ca="1" si="288"/>
        <v>0</v>
      </c>
      <c r="GU28" s="200">
        <f t="shared" si="289"/>
        <v>0</v>
      </c>
      <c r="GV28" s="201">
        <f t="shared" ca="1" si="290"/>
        <v>0</v>
      </c>
      <c r="GW28" s="200">
        <f t="shared" si="291"/>
        <v>0</v>
      </c>
      <c r="GX28" s="201" cm="1">
        <f t="array" ref="GX28">IF(LEFT($AG28,3)="Res",IF(OR($DW28&gt;External_Threshold,$DM28&gt;0),1*Uplift*AWE*(External),0),0)</f>
        <v>0</v>
      </c>
      <c r="GY28" s="200">
        <f t="shared" si="292"/>
        <v>0</v>
      </c>
      <c r="GZ28" s="201">
        <f t="shared" si="293"/>
        <v>0</v>
      </c>
      <c r="HA28" s="203">
        <f t="shared" si="347"/>
        <v>0</v>
      </c>
      <c r="HB28" s="54"/>
      <c r="HC28" s="54"/>
      <c r="HD28" s="54"/>
      <c r="HE28" s="54"/>
      <c r="HF28" s="54"/>
      <c r="HG28" s="201">
        <f t="shared" ca="1" si="348"/>
        <v>327127.00786930672</v>
      </c>
      <c r="HH28" s="201">
        <f t="shared" ca="1" si="349"/>
        <v>265551.12192818697</v>
      </c>
      <c r="HI28" s="201">
        <f t="shared" ca="1" si="350"/>
        <v>248920.74604310864</v>
      </c>
      <c r="HJ28" s="201">
        <f t="shared" ca="1" si="351"/>
        <v>228210.90545309376</v>
      </c>
      <c r="HK28" s="201">
        <f t="shared" ca="1" si="352"/>
        <v>187756.68958178739</v>
      </c>
      <c r="HL28" s="201">
        <f t="shared" ca="1" si="353"/>
        <v>22349.673178967678</v>
      </c>
      <c r="HM28" s="201">
        <f t="shared" ca="1" si="354"/>
        <v>0</v>
      </c>
      <c r="HN28" s="201">
        <f t="shared" ca="1" si="355"/>
        <v>0</v>
      </c>
      <c r="HO28" s="201">
        <f t="shared" ca="1" si="356"/>
        <v>0</v>
      </c>
      <c r="HP28" s="201">
        <f t="shared" ca="1" si="357"/>
        <v>0</v>
      </c>
      <c r="HQ28" s="54"/>
    </row>
    <row r="29" spans="1:228" x14ac:dyDescent="0.3">
      <c r="A29" s="513">
        <v>11</v>
      </c>
      <c r="B29" s="514" t="s">
        <v>434</v>
      </c>
      <c r="C29" s="514" t="s">
        <v>390</v>
      </c>
      <c r="D29" s="514" t="s">
        <v>390</v>
      </c>
      <c r="E29" s="513">
        <v>1</v>
      </c>
      <c r="F29" s="515">
        <v>5.47</v>
      </c>
      <c r="G29" s="515">
        <v>5.14</v>
      </c>
      <c r="H29" s="513">
        <v>2</v>
      </c>
      <c r="I29" s="517">
        <v>1</v>
      </c>
      <c r="J29" s="518" t="s">
        <v>42</v>
      </c>
      <c r="K29" s="513">
        <f t="shared" si="204"/>
        <v>90</v>
      </c>
      <c r="L29" s="519">
        <v>8.3499999999999961</v>
      </c>
      <c r="M29" s="519">
        <v>6.5699999999999994</v>
      </c>
      <c r="N29" s="519">
        <v>6.27</v>
      </c>
      <c r="O29" s="519">
        <v>5.97</v>
      </c>
      <c r="P29" s="519">
        <v>5.47</v>
      </c>
      <c r="Q29" s="519">
        <v>5</v>
      </c>
      <c r="R29" s="519">
        <v>4.2</v>
      </c>
      <c r="S29" s="519">
        <v>0</v>
      </c>
      <c r="T29" s="519">
        <v>0</v>
      </c>
      <c r="U29" s="519">
        <v>0</v>
      </c>
      <c r="V29" s="536"/>
      <c r="W29" s="536"/>
      <c r="X29" s="536"/>
      <c r="Y29" s="536"/>
      <c r="Z29" s="536"/>
      <c r="AA29" s="536"/>
      <c r="AB29" s="536"/>
      <c r="AC29" s="536"/>
      <c r="AD29" s="536"/>
      <c r="AE29" s="536"/>
      <c r="AF29" s="54"/>
      <c r="AG29" s="204" t="str">
        <f t="shared" ref="AG29:AG92" si="465">IF(AND($H29&lt;=4),"Res","Com")&amp;IF($H29=3,1,IF($H29=4,2,IF($H29&gt;4,1,IF($E29&lt;=1,1,2))))</f>
        <v>Res1</v>
      </c>
      <c r="AH29" s="204">
        <f t="shared" si="294"/>
        <v>4</v>
      </c>
      <c r="AI29" s="204">
        <f t="shared" si="205"/>
        <v>1</v>
      </c>
      <c r="AJ29" s="54"/>
      <c r="AK29" s="74">
        <f>IFERROR(IF(H29&gt;4,0,AI29*Inputs!$C$55),0)</f>
        <v>2.6</v>
      </c>
      <c r="AL29" s="81">
        <f>IFERROR(Inputs!$C$73,0)</f>
        <v>5</v>
      </c>
      <c r="AM29" s="211">
        <f>IFERROR(Inputs!$C$74,0)</f>
        <v>0.24299999999999999</v>
      </c>
      <c r="AN29" s="446">
        <f>IFERROR(HLOOKUP(HLOOKUP(AN$17,$V$18:$AE29,COUNTA($AK$18:$AK29),FALSE),Inputs!$B$58:$H$59,2,FALSE),0)</f>
        <v>0</v>
      </c>
      <c r="AO29" s="447">
        <f t="shared" si="295"/>
        <v>0</v>
      </c>
      <c r="AP29" s="447">
        <f t="shared" si="296"/>
        <v>0</v>
      </c>
      <c r="AQ29" s="446">
        <f>IFERROR(HLOOKUP(HLOOKUP(AQ$17,$V$18:$AE29,COUNTA($AK$18:$AK29),FALSE),Inputs!$B$58:$H$59,2,FALSE),0)</f>
        <v>0</v>
      </c>
      <c r="AR29" s="447">
        <f t="shared" ref="AR29" si="466">2*$AK29*AQ29*$AL29/100*$AM29</f>
        <v>0</v>
      </c>
      <c r="AS29" s="447">
        <f t="shared" si="298"/>
        <v>0</v>
      </c>
      <c r="AT29" s="446">
        <f>IFERROR(HLOOKUP(HLOOKUP(AT$17,$V$18:$AE29,COUNTA($AK$18:$AK29),FALSE),Inputs!$B$58:$H$59,2,FALSE),0)</f>
        <v>0</v>
      </c>
      <c r="AU29" s="447">
        <f t="shared" ref="AU29" si="467">2*$AK29*AT29*$AL29/100*$AM29</f>
        <v>0</v>
      </c>
      <c r="AV29" s="447">
        <f t="shared" si="300"/>
        <v>0</v>
      </c>
      <c r="AW29" s="446">
        <f>IFERROR(HLOOKUP(HLOOKUP(AW$17,$V$18:$AE29,COUNTA($AK$18:$AK29),FALSE),Inputs!$B$58:$H$59,2,FALSE),0)</f>
        <v>0</v>
      </c>
      <c r="AX29" s="447">
        <f t="shared" ref="AX29" si="468">2*$AK29*AW29*$AL29/100*$AM29</f>
        <v>0</v>
      </c>
      <c r="AY29" s="447">
        <f t="shared" si="302"/>
        <v>0</v>
      </c>
      <c r="AZ29" s="446">
        <f>IFERROR(HLOOKUP(HLOOKUP(AZ$17,$V$18:$AE29,COUNTA($AK$18:$AK29),FALSE),Inputs!$B$58:$H$59,2,FALSE),0)</f>
        <v>0</v>
      </c>
      <c r="BA29" s="447">
        <f t="shared" ref="BA29" si="469">2*$AK29*AZ29*$AL29/100*$AM29</f>
        <v>0</v>
      </c>
      <c r="BB29" s="447">
        <f t="shared" si="304"/>
        <v>0</v>
      </c>
      <c r="BC29" s="446">
        <f>IFERROR(HLOOKUP(HLOOKUP(BC$17,$V$18:$AE29,COUNTA($AK$18:$AK29),FALSE),Inputs!$B$58:$H$59,2,FALSE),0)</f>
        <v>0</v>
      </c>
      <c r="BD29" s="447">
        <f t="shared" ref="BD29" si="470">2*$AK29*BC29*$AL29/100*$AM29</f>
        <v>0</v>
      </c>
      <c r="BE29" s="447">
        <f t="shared" si="306"/>
        <v>0</v>
      </c>
      <c r="BF29" s="446">
        <f>IFERROR(HLOOKUP(HLOOKUP(BF$17,$V$18:$AE29,COUNTA($AK$18:$AK29),FALSE),Inputs!$B$58:$H$59,2,FALSE),0)</f>
        <v>0</v>
      </c>
      <c r="BG29" s="447">
        <f t="shared" ref="BG29" si="471">2*$AK29*BF29*$AL29/100*$AM29</f>
        <v>0</v>
      </c>
      <c r="BH29" s="447">
        <f t="shared" si="308"/>
        <v>0</v>
      </c>
      <c r="BI29" s="446">
        <f>IFERROR(HLOOKUP(HLOOKUP(BI$17,$V$18:$AE29,COUNTA($AK$18:$AK29),FALSE),Inputs!$B$58:$H$59,2,FALSE),0)</f>
        <v>0</v>
      </c>
      <c r="BJ29" s="447">
        <f t="shared" ref="BJ29" si="472">2*$AK29*BI29*$AL29/100*$AM29</f>
        <v>0</v>
      </c>
      <c r="BK29" s="447">
        <f t="shared" si="310"/>
        <v>0</v>
      </c>
      <c r="BL29" s="446">
        <f>IFERROR(HLOOKUP(HLOOKUP(BL$17,$V$18:$AE29,COUNTA($AK$18:$AK29),FALSE),Inputs!$B$58:$H$59,2,FALSE),0)</f>
        <v>0</v>
      </c>
      <c r="BM29" s="447">
        <f t="shared" ref="BM29" si="473">2*$AK29*BL29*$AL29/100*$AM29</f>
        <v>0</v>
      </c>
      <c r="BN29" s="447">
        <f t="shared" si="312"/>
        <v>0</v>
      </c>
      <c r="BO29" s="446">
        <f>IFERROR(HLOOKUP(HLOOKUP(BO$17,$V$18:$AE29,COUNTA($AK$18:$AK29),FALSE),Inputs!$B$58:$H$59,2,FALSE),0)</f>
        <v>0</v>
      </c>
      <c r="BP29" s="447">
        <f t="shared" ref="BP29" si="474">2*$AK29*BO29*$AL29/100*$AM29</f>
        <v>0</v>
      </c>
      <c r="BQ29" s="447">
        <f t="shared" si="314"/>
        <v>0</v>
      </c>
      <c r="BR29" s="54"/>
      <c r="BS29" s="103">
        <f t="shared" ca="1" si="224"/>
        <v>728.75515861794509</v>
      </c>
      <c r="BT29" s="103">
        <f t="shared" ca="1" si="396"/>
        <v>628.41768337807639</v>
      </c>
      <c r="BU29" s="103">
        <f t="shared" si="397"/>
        <v>541.68672214182345</v>
      </c>
      <c r="BV29" s="103">
        <f t="shared" si="398"/>
        <v>0</v>
      </c>
      <c r="BW29" s="152">
        <f t="shared" ca="1" si="399"/>
        <v>1898.8595641378447</v>
      </c>
      <c r="BX29" s="441"/>
      <c r="BY29" s="94" t="s">
        <v>91</v>
      </c>
      <c r="BZ29" s="356">
        <f>$DG$9</f>
        <v>40</v>
      </c>
      <c r="CA29" s="95">
        <f>$DG$7</f>
        <v>2.2199999999999998</v>
      </c>
      <c r="CB29" s="79">
        <f ca="1">$EX$10</f>
        <v>3647695.3242352074</v>
      </c>
      <c r="CC29" s="79">
        <f ca="1">$EX$9</f>
        <v>91192.383105880188</v>
      </c>
      <c r="CD29" s="54"/>
      <c r="CE29" s="94" t="s">
        <v>91</v>
      </c>
      <c r="CF29" s="356">
        <f>$DG$9</f>
        <v>40</v>
      </c>
      <c r="CG29" s="95">
        <f>$DG$7</f>
        <v>2.2199999999999998</v>
      </c>
      <c r="CH29" s="79">
        <f ca="1">$EZ$10</f>
        <v>2779234.2665327224</v>
      </c>
      <c r="CI29" s="79">
        <f ca="1">$EZ$9</f>
        <v>69480.85666331806</v>
      </c>
      <c r="CJ29" s="54"/>
      <c r="CK29" s="94" t="s">
        <v>91</v>
      </c>
      <c r="CL29" s="356">
        <f>$DQ$9</f>
        <v>60</v>
      </c>
      <c r="CM29" s="95">
        <f>$DQ$7</f>
        <v>2.5599999999999996</v>
      </c>
      <c r="CN29" s="79">
        <f>$FB$10</f>
        <v>805021.70767004334</v>
      </c>
      <c r="CO29" s="79">
        <f>$FB$9</f>
        <v>13417.028461167389</v>
      </c>
      <c r="CP29" s="54"/>
      <c r="CQ29" s="94" t="s">
        <v>91</v>
      </c>
      <c r="CR29" s="356">
        <f>$DG$9</f>
        <v>40</v>
      </c>
      <c r="CS29" s="95">
        <f>$DG$7</f>
        <v>2.2199999999999998</v>
      </c>
      <c r="CT29" s="79">
        <f>$FD$10</f>
        <v>0</v>
      </c>
      <c r="CU29" s="79" t="str">
        <f>$FD$9</f>
        <v>--</v>
      </c>
      <c r="CV29" s="54"/>
      <c r="CW29" s="94" t="s">
        <v>91</v>
      </c>
      <c r="CX29" s="356">
        <f>$DG$9</f>
        <v>40</v>
      </c>
      <c r="CY29" s="95">
        <f>$DG$7</f>
        <v>2.2199999999999998</v>
      </c>
      <c r="CZ29" s="79">
        <f ca="1">SUM(DetailedStructural[[#This Row],[Total Damages]],DetailedInternal[[#This Row],[Total Damages]],DetailedExternal[[#This Row],[Total Damages]],DetailedRiskToLife[[#This Row],[Total Damages]])</f>
        <v>7231951.2984379726</v>
      </c>
      <c r="DA29" s="79">
        <f ca="1">SUM(DetailedStructural[[#This Row],[AAD per Property]],DetailedInternal[[#This Row],[AAD per Property]],DetailedExternal[[#This Row],[AAD per Property]],DetailedRiskToLife[[#This Row],[AAD per Property]])</f>
        <v>174090.26823036562</v>
      </c>
      <c r="DB29" s="54"/>
      <c r="DC29" s="54"/>
      <c r="DD29" s="188">
        <f t="shared" si="315"/>
        <v>2.8799999999999963</v>
      </c>
      <c r="DE29" s="188">
        <f t="shared" si="316"/>
        <v>1.0999999999999996</v>
      </c>
      <c r="DF29" s="188">
        <f t="shared" si="317"/>
        <v>0.79999999999999982</v>
      </c>
      <c r="DG29" s="188">
        <f t="shared" si="318"/>
        <v>0.5</v>
      </c>
      <c r="DH29" s="188">
        <f t="shared" si="319"/>
        <v>0</v>
      </c>
      <c r="DI29" s="188">
        <f t="shared" si="320"/>
        <v>-0.3</v>
      </c>
      <c r="DJ29" s="188">
        <f t="shared" si="321"/>
        <v>-0.3</v>
      </c>
      <c r="DK29" s="188">
        <f t="shared" si="322"/>
        <v>-0.3</v>
      </c>
      <c r="DL29" s="188">
        <f t="shared" si="323"/>
        <v>-0.3</v>
      </c>
      <c r="DM29" s="188">
        <f t="shared" si="324"/>
        <v>-0.3</v>
      </c>
      <c r="DN29" s="189">
        <f t="shared" si="325"/>
        <v>3.2099999999999964</v>
      </c>
      <c r="DO29" s="189">
        <f t="shared" si="326"/>
        <v>1.4299999999999997</v>
      </c>
      <c r="DP29" s="189">
        <f t="shared" si="327"/>
        <v>1.1299999999999999</v>
      </c>
      <c r="DQ29" s="189">
        <f t="shared" si="328"/>
        <v>0.83000000000000007</v>
      </c>
      <c r="DR29" s="189">
        <f t="shared" si="329"/>
        <v>0.33000000000000007</v>
      </c>
      <c r="DS29" s="189">
        <f t="shared" si="330"/>
        <v>0</v>
      </c>
      <c r="DT29" s="189">
        <f t="shared" si="331"/>
        <v>0</v>
      </c>
      <c r="DU29" s="189">
        <f t="shared" si="332"/>
        <v>0</v>
      </c>
      <c r="DV29" s="189">
        <f t="shared" si="333"/>
        <v>0</v>
      </c>
      <c r="DW29" s="189">
        <f t="shared" si="334"/>
        <v>0</v>
      </c>
      <c r="DX29" s="54"/>
      <c r="DY29" s="54"/>
      <c r="DZ29" s="199">
        <f t="shared" ca="1" si="237"/>
        <v>76853.255065123012</v>
      </c>
      <c r="EA29" s="200">
        <f t="shared" si="335"/>
        <v>1</v>
      </c>
      <c r="EB29" s="201">
        <f t="shared" ca="1" si="238"/>
        <v>58677.283708671122</v>
      </c>
      <c r="EC29" s="200">
        <f t="shared" si="336"/>
        <v>1</v>
      </c>
      <c r="ED29" s="201" cm="1">
        <f t="array" ref="ED29">IF(LEFT($AG29,3)="Res",IF(OR($DN29&gt;External_Threshold,$DD29&gt;0),1*Uplift*AWE*(External),0),0)</f>
        <v>15481.186685962373</v>
      </c>
      <c r="EE29" s="200">
        <f t="shared" si="337"/>
        <v>1</v>
      </c>
      <c r="EF29" s="201">
        <f t="shared" si="239"/>
        <v>0</v>
      </c>
      <c r="EG29" s="203">
        <f t="shared" si="338"/>
        <v>0</v>
      </c>
      <c r="EH29" s="199">
        <f t="shared" ca="1" si="240"/>
        <v>46847.619030390742</v>
      </c>
      <c r="EI29" s="200">
        <f t="shared" si="241"/>
        <v>1</v>
      </c>
      <c r="EJ29" s="201">
        <f t="shared" ca="1" si="242"/>
        <v>52693.153272983225</v>
      </c>
      <c r="EK29" s="200">
        <f t="shared" si="243"/>
        <v>1</v>
      </c>
      <c r="EL29" s="201" cm="1">
        <f t="array" ref="EL29">IF(LEFT($AG29,3)="Res",IF(OR($DO29&gt;External_Threshold,$DE29&gt;0),1*Uplift*AWE*(External),0),0)</f>
        <v>15481.186685962373</v>
      </c>
      <c r="EM29" s="200">
        <f t="shared" si="244"/>
        <v>1</v>
      </c>
      <c r="EN29" s="201">
        <f t="shared" si="245"/>
        <v>0</v>
      </c>
      <c r="EO29" s="203">
        <f t="shared" si="339"/>
        <v>0</v>
      </c>
      <c r="EP29" s="199">
        <f t="shared" ca="1" si="246"/>
        <v>43169.289073806081</v>
      </c>
      <c r="EQ29" s="200">
        <f t="shared" si="247"/>
        <v>1</v>
      </c>
      <c r="ER29" s="201">
        <f t="shared" ca="1" si="248"/>
        <v>42844.516396144296</v>
      </c>
      <c r="ES29" s="200">
        <f t="shared" si="249"/>
        <v>1</v>
      </c>
      <c r="ET29" s="201" cm="1">
        <f t="array" ref="ET29">IF(LEFT($AG29,3)="Res",IF(OR($DP29&gt;External_Threshold,$DF29&gt;0),1*Uplift*AWE*(External),0),0)</f>
        <v>15481.186685962373</v>
      </c>
      <c r="EU29" s="200">
        <f t="shared" si="250"/>
        <v>1</v>
      </c>
      <c r="EV29" s="201">
        <f t="shared" si="251"/>
        <v>0</v>
      </c>
      <c r="EW29" s="203">
        <f t="shared" si="340"/>
        <v>0</v>
      </c>
      <c r="EX29" s="199">
        <f t="shared" ca="1" si="252"/>
        <v>40870.332850940664</v>
      </c>
      <c r="EY29" s="200">
        <f t="shared" si="253"/>
        <v>1</v>
      </c>
      <c r="EZ29" s="201">
        <f t="shared" ca="1" si="254"/>
        <v>35624.840411637095</v>
      </c>
      <c r="FA29" s="200">
        <f t="shared" si="255"/>
        <v>1</v>
      </c>
      <c r="FB29" s="201" cm="1">
        <f t="array" ref="FB29">IF(LEFT($AG29,3)="Res",IF(OR($DQ29&gt;External_Threshold,$DG29&gt;0),1*Uplift*AWE*(External),0),0)</f>
        <v>15481.186685962373</v>
      </c>
      <c r="FC29" s="200">
        <f t="shared" si="256"/>
        <v>1</v>
      </c>
      <c r="FD29" s="201">
        <f t="shared" si="257"/>
        <v>0</v>
      </c>
      <c r="FE29" s="203">
        <f t="shared" si="341"/>
        <v>0</v>
      </c>
      <c r="FF29" s="199">
        <f t="shared" ca="1" si="258"/>
        <v>2809.8353835021708</v>
      </c>
      <c r="FG29" s="200">
        <f t="shared" si="259"/>
        <v>0</v>
      </c>
      <c r="FH29" s="201">
        <f t="shared" ca="1" si="260"/>
        <v>0</v>
      </c>
      <c r="FI29" s="200">
        <f t="shared" si="261"/>
        <v>0</v>
      </c>
      <c r="FJ29" s="201" cm="1">
        <f t="array" ref="FJ29">IF(LEFT($AG29,3)="Res",IF(OR($DR29&gt;External_Threshold,$DH29&gt;0),1*Uplift*AWE*(External),0),0)</f>
        <v>15481.186685962373</v>
      </c>
      <c r="FK29" s="200">
        <f t="shared" si="262"/>
        <v>1</v>
      </c>
      <c r="FL29" s="201">
        <f t="shared" si="263"/>
        <v>0</v>
      </c>
      <c r="FM29" s="203">
        <f t="shared" si="342"/>
        <v>0</v>
      </c>
      <c r="FN29" s="199">
        <f t="shared" ca="1" si="264"/>
        <v>0</v>
      </c>
      <c r="FO29" s="200">
        <f t="shared" si="265"/>
        <v>0</v>
      </c>
      <c r="FP29" s="201">
        <f t="shared" ca="1" si="266"/>
        <v>0</v>
      </c>
      <c r="FQ29" s="200">
        <f t="shared" si="267"/>
        <v>0</v>
      </c>
      <c r="FR29" s="201" cm="1">
        <f t="array" ref="FR29">IF(LEFT($AG29,3)="Res",IF(OR($DS29&gt;External_Threshold,$DI29&gt;0),1*Uplift*AWE*(External),0),0)</f>
        <v>0</v>
      </c>
      <c r="FS29" s="200">
        <f t="shared" si="268"/>
        <v>0</v>
      </c>
      <c r="FT29" s="201">
        <f t="shared" si="269"/>
        <v>0</v>
      </c>
      <c r="FU29" s="203">
        <f t="shared" si="343"/>
        <v>0</v>
      </c>
      <c r="FV29" s="199">
        <f t="shared" ca="1" si="270"/>
        <v>0</v>
      </c>
      <c r="FW29" s="200">
        <f t="shared" si="271"/>
        <v>0</v>
      </c>
      <c r="FX29" s="201">
        <f t="shared" ca="1" si="272"/>
        <v>0</v>
      </c>
      <c r="FY29" s="200">
        <f t="shared" si="273"/>
        <v>0</v>
      </c>
      <c r="FZ29" s="201" cm="1">
        <f t="array" ref="FZ29">IF(LEFT($AG29,3)="Res",IF(OR($DT29&gt;External_Threshold,$DJ29&gt;0),1*Uplift*AWE*(External),0),0)</f>
        <v>0</v>
      </c>
      <c r="GA29" s="200">
        <f t="shared" si="274"/>
        <v>0</v>
      </c>
      <c r="GB29" s="201">
        <f t="shared" si="275"/>
        <v>0</v>
      </c>
      <c r="GC29" s="203">
        <f t="shared" si="344"/>
        <v>0</v>
      </c>
      <c r="GD29" s="199">
        <f t="shared" ca="1" si="276"/>
        <v>0</v>
      </c>
      <c r="GE29" s="200">
        <f t="shared" si="277"/>
        <v>0</v>
      </c>
      <c r="GF29" s="201">
        <f t="shared" ca="1" si="278"/>
        <v>0</v>
      </c>
      <c r="GG29" s="200">
        <f t="shared" si="279"/>
        <v>0</v>
      </c>
      <c r="GH29" s="201" cm="1">
        <f t="array" ref="GH29">IF(LEFT($AG29,3)="Res",IF(OR($DU29&gt;External_Threshold,$DK29&gt;0),1*Uplift*AWE*(External),0),0)</f>
        <v>0</v>
      </c>
      <c r="GI29" s="200">
        <f t="shared" si="280"/>
        <v>0</v>
      </c>
      <c r="GJ29" s="201">
        <f t="shared" si="281"/>
        <v>0</v>
      </c>
      <c r="GK29" s="203">
        <f t="shared" si="345"/>
        <v>0</v>
      </c>
      <c r="GL29" s="199">
        <f t="shared" ca="1" si="282"/>
        <v>0</v>
      </c>
      <c r="GM29" s="200">
        <f t="shared" si="283"/>
        <v>0</v>
      </c>
      <c r="GN29" s="201">
        <f t="shared" ca="1" si="284"/>
        <v>0</v>
      </c>
      <c r="GO29" s="200">
        <f t="shared" si="285"/>
        <v>0</v>
      </c>
      <c r="GP29" s="201" cm="1">
        <f t="array" ref="GP29">IF(LEFT($AG29,3)="Res",IF(OR($DV29&gt;External_Threshold,$DL29&gt;0),1*Uplift*AWE*(External),0),0)</f>
        <v>0</v>
      </c>
      <c r="GQ29" s="200">
        <f t="shared" si="286"/>
        <v>0</v>
      </c>
      <c r="GR29" s="201">
        <f t="shared" si="287"/>
        <v>0</v>
      </c>
      <c r="GS29" s="203">
        <f t="shared" si="346"/>
        <v>0</v>
      </c>
      <c r="GT29" s="199">
        <f t="shared" ca="1" si="288"/>
        <v>0</v>
      </c>
      <c r="GU29" s="200">
        <f t="shared" si="289"/>
        <v>0</v>
      </c>
      <c r="GV29" s="201">
        <f t="shared" ca="1" si="290"/>
        <v>0</v>
      </c>
      <c r="GW29" s="200">
        <f t="shared" si="291"/>
        <v>0</v>
      </c>
      <c r="GX29" s="201" cm="1">
        <f t="array" ref="GX29">IF(LEFT($AG29,3)="Res",IF(OR($DW29&gt;External_Threshold,$DM29&gt;0),1*Uplift*AWE*(External),0),0)</f>
        <v>0</v>
      </c>
      <c r="GY29" s="200">
        <f t="shared" si="292"/>
        <v>0</v>
      </c>
      <c r="GZ29" s="201">
        <f t="shared" si="293"/>
        <v>0</v>
      </c>
      <c r="HA29" s="203">
        <f t="shared" si="347"/>
        <v>0</v>
      </c>
      <c r="HB29" s="54"/>
      <c r="HC29" s="54"/>
      <c r="HD29" s="54"/>
      <c r="HE29" s="54"/>
      <c r="HF29" s="54"/>
      <c r="HG29" s="201">
        <f t="shared" ca="1" si="348"/>
        <v>151011.7254597565</v>
      </c>
      <c r="HH29" s="201">
        <f t="shared" ca="1" si="349"/>
        <v>115021.95898933633</v>
      </c>
      <c r="HI29" s="201">
        <f t="shared" ca="1" si="350"/>
        <v>101494.99215591274</v>
      </c>
      <c r="HJ29" s="201">
        <f t="shared" ca="1" si="351"/>
        <v>91976.359948540136</v>
      </c>
      <c r="HK29" s="201">
        <f t="shared" ca="1" si="352"/>
        <v>18291.022069464543</v>
      </c>
      <c r="HL29" s="201">
        <f t="shared" ca="1" si="353"/>
        <v>0</v>
      </c>
      <c r="HM29" s="201">
        <f t="shared" ca="1" si="354"/>
        <v>0</v>
      </c>
      <c r="HN29" s="201">
        <f t="shared" ca="1" si="355"/>
        <v>0</v>
      </c>
      <c r="HO29" s="201">
        <f t="shared" ca="1" si="356"/>
        <v>0</v>
      </c>
      <c r="HP29" s="201">
        <f t="shared" ca="1" si="357"/>
        <v>0</v>
      </c>
      <c r="HQ29" s="54"/>
    </row>
    <row r="30" spans="1:228" x14ac:dyDescent="0.3">
      <c r="A30" s="513">
        <v>12</v>
      </c>
      <c r="B30" s="514" t="s">
        <v>435</v>
      </c>
      <c r="C30" s="514" t="s">
        <v>390</v>
      </c>
      <c r="D30" s="514" t="s">
        <v>390</v>
      </c>
      <c r="E30" s="513">
        <v>1</v>
      </c>
      <c r="F30" s="515">
        <v>5.51</v>
      </c>
      <c r="G30" s="515">
        <v>5.01</v>
      </c>
      <c r="H30" s="513">
        <v>2</v>
      </c>
      <c r="I30" s="517">
        <v>1</v>
      </c>
      <c r="J30" s="518" t="s">
        <v>43</v>
      </c>
      <c r="K30" s="513">
        <f t="shared" si="204"/>
        <v>180</v>
      </c>
      <c r="L30" s="519">
        <v>8.3499999999999961</v>
      </c>
      <c r="M30" s="519">
        <v>6.5699999999999994</v>
      </c>
      <c r="N30" s="519">
        <v>6.27</v>
      </c>
      <c r="O30" s="519">
        <v>5.97</v>
      </c>
      <c r="P30" s="519">
        <v>5.47</v>
      </c>
      <c r="Q30" s="519">
        <v>5</v>
      </c>
      <c r="R30" s="519">
        <v>4.2</v>
      </c>
      <c r="S30" s="519">
        <v>0</v>
      </c>
      <c r="T30" s="519">
        <v>0</v>
      </c>
      <c r="U30" s="519">
        <v>0</v>
      </c>
      <c r="V30" s="536"/>
      <c r="W30" s="536"/>
      <c r="X30" s="536"/>
      <c r="Y30" s="536"/>
      <c r="Z30" s="536"/>
      <c r="AA30" s="536"/>
      <c r="AB30" s="536"/>
      <c r="AC30" s="536"/>
      <c r="AD30" s="536"/>
      <c r="AE30" s="536"/>
      <c r="AF30" s="54"/>
      <c r="AG30" s="204" t="str">
        <f t="shared" si="465"/>
        <v>Res1</v>
      </c>
      <c r="AH30" s="204">
        <f t="shared" si="294"/>
        <v>5</v>
      </c>
      <c r="AI30" s="204">
        <f t="shared" si="205"/>
        <v>1</v>
      </c>
      <c r="AJ30" s="54"/>
      <c r="AK30" s="74">
        <f>IFERROR(IF(H30&gt;4,0,AI30*Inputs!$C$55),0)</f>
        <v>2.6</v>
      </c>
      <c r="AL30" s="81">
        <f>IFERROR(Inputs!$C$73,0)</f>
        <v>5</v>
      </c>
      <c r="AM30" s="211">
        <f>IFERROR(Inputs!$C$74,0)</f>
        <v>0.24299999999999999</v>
      </c>
      <c r="AN30" s="446">
        <f>IFERROR(HLOOKUP(HLOOKUP(AN$17,$V$18:$AE30,COUNTA($AK$18:$AK30),FALSE),Inputs!$B$58:$H$59,2,FALSE),0)</f>
        <v>0</v>
      </c>
      <c r="AO30" s="447">
        <f t="shared" si="295"/>
        <v>0</v>
      </c>
      <c r="AP30" s="447">
        <f t="shared" si="296"/>
        <v>0</v>
      </c>
      <c r="AQ30" s="446">
        <f>IFERROR(HLOOKUP(HLOOKUP(AQ$17,$V$18:$AE30,COUNTA($AK$18:$AK30),FALSE),Inputs!$B$58:$H$59,2,FALSE),0)</f>
        <v>0</v>
      </c>
      <c r="AR30" s="447">
        <f t="shared" ref="AR30" si="475">2*$AK30*AQ30*$AL30/100*$AM30</f>
        <v>0</v>
      </c>
      <c r="AS30" s="447">
        <f t="shared" si="298"/>
        <v>0</v>
      </c>
      <c r="AT30" s="446">
        <f>IFERROR(HLOOKUP(HLOOKUP(AT$17,$V$18:$AE30,COUNTA($AK$18:$AK30),FALSE),Inputs!$B$58:$H$59,2,FALSE),0)</f>
        <v>0</v>
      </c>
      <c r="AU30" s="447">
        <f t="shared" ref="AU30" si="476">2*$AK30*AT30*$AL30/100*$AM30</f>
        <v>0</v>
      </c>
      <c r="AV30" s="447">
        <f t="shared" si="300"/>
        <v>0</v>
      </c>
      <c r="AW30" s="446">
        <f>IFERROR(HLOOKUP(HLOOKUP(AW$17,$V$18:$AE30,COUNTA($AK$18:$AK30),FALSE),Inputs!$B$58:$H$59,2,FALSE),0)</f>
        <v>0</v>
      </c>
      <c r="AX30" s="447">
        <f t="shared" ref="AX30" si="477">2*$AK30*AW30*$AL30/100*$AM30</f>
        <v>0</v>
      </c>
      <c r="AY30" s="447">
        <f t="shared" si="302"/>
        <v>0</v>
      </c>
      <c r="AZ30" s="446">
        <f>IFERROR(HLOOKUP(HLOOKUP(AZ$17,$V$18:$AE30,COUNTA($AK$18:$AK30),FALSE),Inputs!$B$58:$H$59,2,FALSE),0)</f>
        <v>0</v>
      </c>
      <c r="BA30" s="447">
        <f t="shared" ref="BA30" si="478">2*$AK30*AZ30*$AL30/100*$AM30</f>
        <v>0</v>
      </c>
      <c r="BB30" s="447">
        <f t="shared" si="304"/>
        <v>0</v>
      </c>
      <c r="BC30" s="446">
        <f>IFERROR(HLOOKUP(HLOOKUP(BC$17,$V$18:$AE30,COUNTA($AK$18:$AK30),FALSE),Inputs!$B$58:$H$59,2,FALSE),0)</f>
        <v>0</v>
      </c>
      <c r="BD30" s="447">
        <f t="shared" ref="BD30" si="479">2*$AK30*BC30*$AL30/100*$AM30</f>
        <v>0</v>
      </c>
      <c r="BE30" s="447">
        <f t="shared" si="306"/>
        <v>0</v>
      </c>
      <c r="BF30" s="446">
        <f>IFERROR(HLOOKUP(HLOOKUP(BF$17,$V$18:$AE30,COUNTA($AK$18:$AK30),FALSE),Inputs!$B$58:$H$59,2,FALSE),0)</f>
        <v>0</v>
      </c>
      <c r="BG30" s="447">
        <f t="shared" ref="BG30" si="480">2*$AK30*BF30*$AL30/100*$AM30</f>
        <v>0</v>
      </c>
      <c r="BH30" s="447">
        <f t="shared" si="308"/>
        <v>0</v>
      </c>
      <c r="BI30" s="446">
        <f>IFERROR(HLOOKUP(HLOOKUP(BI$17,$V$18:$AE30,COUNTA($AK$18:$AK30),FALSE),Inputs!$B$58:$H$59,2,FALSE),0)</f>
        <v>0</v>
      </c>
      <c r="BJ30" s="447">
        <f t="shared" ref="BJ30" si="481">2*$AK30*BI30*$AL30/100*$AM30</f>
        <v>0</v>
      </c>
      <c r="BK30" s="447">
        <f t="shared" si="310"/>
        <v>0</v>
      </c>
      <c r="BL30" s="446">
        <f>IFERROR(HLOOKUP(HLOOKUP(BL$17,$V$18:$AE30,COUNTA($AK$18:$AK30),FALSE),Inputs!$B$58:$H$59,2,FALSE),0)</f>
        <v>0</v>
      </c>
      <c r="BM30" s="447">
        <f t="shared" ref="BM30" si="482">2*$AK30*BL30*$AL30/100*$AM30</f>
        <v>0</v>
      </c>
      <c r="BN30" s="447">
        <f t="shared" si="312"/>
        <v>0</v>
      </c>
      <c r="BO30" s="446">
        <f>IFERROR(HLOOKUP(HLOOKUP(BO$17,$V$18:$AE30,COUNTA($AK$18:$AK30),FALSE),Inputs!$B$58:$H$59,2,FALSE),0)</f>
        <v>0</v>
      </c>
      <c r="BP30" s="447">
        <f t="shared" ref="BP30" si="483">2*$AK30*BO30*$AL30/100*$AM30</f>
        <v>0</v>
      </c>
      <c r="BQ30" s="447">
        <f t="shared" si="314"/>
        <v>0</v>
      </c>
      <c r="BR30" s="54"/>
      <c r="BS30" s="103">
        <f t="shared" ca="1" si="224"/>
        <v>1428.7157202514472</v>
      </c>
      <c r="BT30" s="103">
        <f t="shared" ca="1" si="396"/>
        <v>1046.1952067308214</v>
      </c>
      <c r="BU30" s="103">
        <f t="shared" si="397"/>
        <v>541.68672214182345</v>
      </c>
      <c r="BV30" s="103">
        <f t="shared" si="398"/>
        <v>0</v>
      </c>
      <c r="BW30" s="152">
        <f t="shared" ca="1" si="399"/>
        <v>3016.5976491240917</v>
      </c>
      <c r="BX30" s="441"/>
      <c r="BY30" s="94" t="s">
        <v>92</v>
      </c>
      <c r="BZ30" s="356">
        <f>$DG$10</f>
        <v>9</v>
      </c>
      <c r="CA30" s="95">
        <f>$DG$8</f>
        <v>1.1399999999999997</v>
      </c>
      <c r="CB30" s="79">
        <f ca="1">$EX$12</f>
        <v>1103489.8031053492</v>
      </c>
      <c r="CC30" s="79">
        <f ca="1">$EX$11</f>
        <v>122609.97812281658</v>
      </c>
      <c r="CD30" s="54"/>
      <c r="CE30" s="94" t="s">
        <v>92</v>
      </c>
      <c r="CF30" s="356">
        <f>$DG$10</f>
        <v>9</v>
      </c>
      <c r="CG30" s="95">
        <f>$DG$8</f>
        <v>1.1399999999999997</v>
      </c>
      <c r="CH30" s="79">
        <f ca="1">$EZ$12</f>
        <v>0</v>
      </c>
      <c r="CI30" s="79">
        <f ca="1">$EZ$11</f>
        <v>0</v>
      </c>
      <c r="CJ30" s="54"/>
      <c r="CK30" s="94" t="s">
        <v>92</v>
      </c>
      <c r="CL30" s="356">
        <f>$DQ$10</f>
        <v>16</v>
      </c>
      <c r="CM30" s="95">
        <f>$DQ$8</f>
        <v>2.83</v>
      </c>
      <c r="CN30" s="79">
        <f>$FB$12</f>
        <v>0</v>
      </c>
      <c r="CO30" s="79">
        <f>$FB$11</f>
        <v>0</v>
      </c>
      <c r="CP30" s="54"/>
      <c r="CQ30" s="94" t="s">
        <v>92</v>
      </c>
      <c r="CR30" s="356">
        <f>$DG$10</f>
        <v>9</v>
      </c>
      <c r="CS30" s="95">
        <f>$DG$8</f>
        <v>1.1399999999999997</v>
      </c>
      <c r="CT30" s="79">
        <f>$FD$12</f>
        <v>0</v>
      </c>
      <c r="CU30" s="79" t="str">
        <f>$FD$11</f>
        <v>--</v>
      </c>
      <c r="CV30" s="54"/>
      <c r="CW30" s="94" t="s">
        <v>92</v>
      </c>
      <c r="CX30" s="356">
        <f>$DG$10</f>
        <v>9</v>
      </c>
      <c r="CY30" s="95">
        <f>$DG$8</f>
        <v>1.1399999999999997</v>
      </c>
      <c r="CZ30" s="79">
        <f ca="1">SUM(DetailedStructural[[#This Row],[Total Damages]],DetailedInternal[[#This Row],[Total Damages]],DetailedExternal[[#This Row],[Total Damages]],DetailedRiskToLife[[#This Row],[Total Damages]])</f>
        <v>1103489.8031053492</v>
      </c>
      <c r="DA30" s="79">
        <f ca="1">SUM(DetailedStructural[[#This Row],[AAD per Property]],DetailedInternal[[#This Row],[AAD per Property]],DetailedExternal[[#This Row],[AAD per Property]],DetailedRiskToLife[[#This Row],[AAD per Property]])</f>
        <v>122609.97812281658</v>
      </c>
      <c r="DB30" s="54"/>
      <c r="DC30" s="54"/>
      <c r="DD30" s="188">
        <f t="shared" si="315"/>
        <v>2.8399999999999963</v>
      </c>
      <c r="DE30" s="188">
        <f t="shared" si="316"/>
        <v>1.0599999999999996</v>
      </c>
      <c r="DF30" s="188">
        <f t="shared" si="317"/>
        <v>0.75999999999999979</v>
      </c>
      <c r="DG30" s="188">
        <f t="shared" si="318"/>
        <v>0.45999999999999996</v>
      </c>
      <c r="DH30" s="188">
        <f t="shared" si="319"/>
        <v>-4.0000000000000036E-2</v>
      </c>
      <c r="DI30" s="188">
        <f t="shared" si="320"/>
        <v>-0.3</v>
      </c>
      <c r="DJ30" s="188">
        <f t="shared" si="321"/>
        <v>-0.3</v>
      </c>
      <c r="DK30" s="188">
        <f t="shared" si="322"/>
        <v>-0.3</v>
      </c>
      <c r="DL30" s="188">
        <f t="shared" si="323"/>
        <v>-0.3</v>
      </c>
      <c r="DM30" s="188">
        <f t="shared" si="324"/>
        <v>-0.3</v>
      </c>
      <c r="DN30" s="189">
        <f t="shared" si="325"/>
        <v>3.3399999999999963</v>
      </c>
      <c r="DO30" s="189">
        <f t="shared" si="326"/>
        <v>1.5599999999999996</v>
      </c>
      <c r="DP30" s="189">
        <f t="shared" si="327"/>
        <v>1.2599999999999998</v>
      </c>
      <c r="DQ30" s="189">
        <f t="shared" si="328"/>
        <v>0.96</v>
      </c>
      <c r="DR30" s="189">
        <f t="shared" si="329"/>
        <v>0.45999999999999996</v>
      </c>
      <c r="DS30" s="189">
        <f t="shared" si="330"/>
        <v>0</v>
      </c>
      <c r="DT30" s="189">
        <f t="shared" si="331"/>
        <v>0</v>
      </c>
      <c r="DU30" s="189">
        <f t="shared" si="332"/>
        <v>0</v>
      </c>
      <c r="DV30" s="189">
        <f t="shared" si="333"/>
        <v>0</v>
      </c>
      <c r="DW30" s="189">
        <f t="shared" si="334"/>
        <v>0</v>
      </c>
      <c r="DX30" s="54"/>
      <c r="DY30" s="54"/>
      <c r="DZ30" s="199">
        <f t="shared" ca="1" si="237"/>
        <v>152054.66751085388</v>
      </c>
      <c r="EA30" s="200">
        <f t="shared" si="335"/>
        <v>1</v>
      </c>
      <c r="EB30" s="201">
        <f t="shared" ca="1" si="238"/>
        <v>100954.56741734224</v>
      </c>
      <c r="EC30" s="200">
        <f t="shared" si="336"/>
        <v>1</v>
      </c>
      <c r="ED30" s="201" cm="1">
        <f t="array" ref="ED30">IF(LEFT($AG30,3)="Res",IF(OR($DN30&gt;External_Threshold,$DD30&gt;0),1*Uplift*AWE*(External),0),0)</f>
        <v>15481.186685962373</v>
      </c>
      <c r="EE30" s="200">
        <f t="shared" si="337"/>
        <v>1</v>
      </c>
      <c r="EF30" s="201">
        <f t="shared" si="239"/>
        <v>0</v>
      </c>
      <c r="EG30" s="203">
        <f t="shared" si="338"/>
        <v>0</v>
      </c>
      <c r="EH30" s="199">
        <f t="shared" ca="1" si="240"/>
        <v>91549.54558610711</v>
      </c>
      <c r="EI30" s="200">
        <f t="shared" si="241"/>
        <v>1</v>
      </c>
      <c r="EJ30" s="201">
        <f t="shared" ca="1" si="242"/>
        <v>88307.92984927517</v>
      </c>
      <c r="EK30" s="200">
        <f t="shared" si="243"/>
        <v>1</v>
      </c>
      <c r="EL30" s="201" cm="1">
        <f t="array" ref="EL30">IF(LEFT($AG30,3)="Res",IF(OR($DO30&gt;External_Threshold,$DE30&gt;0),1*Uplift*AWE*(External),0),0)</f>
        <v>15481.186685962373</v>
      </c>
      <c r="EM30" s="200">
        <f t="shared" si="244"/>
        <v>1</v>
      </c>
      <c r="EN30" s="201">
        <f t="shared" si="245"/>
        <v>0</v>
      </c>
      <c r="EO30" s="203">
        <f t="shared" si="339"/>
        <v>0</v>
      </c>
      <c r="EP30" s="199">
        <f t="shared" ca="1" si="246"/>
        <v>85572.259406657031</v>
      </c>
      <c r="EQ30" s="200">
        <f t="shared" si="247"/>
        <v>1</v>
      </c>
      <c r="ER30" s="201">
        <f t="shared" ca="1" si="248"/>
        <v>72168.188416500459</v>
      </c>
      <c r="ES30" s="200">
        <f t="shared" si="249"/>
        <v>1</v>
      </c>
      <c r="ET30" s="201" cm="1">
        <f t="array" ref="ET30">IF(LEFT($AG30,3)="Res",IF(OR($DP30&gt;External_Threshold,$DF30&gt;0),1*Uplift*AWE*(External),0),0)</f>
        <v>15481.186685962373</v>
      </c>
      <c r="EU30" s="200">
        <f t="shared" si="250"/>
        <v>1</v>
      </c>
      <c r="EV30" s="201">
        <f t="shared" si="251"/>
        <v>0</v>
      </c>
      <c r="EW30" s="203">
        <f t="shared" si="340"/>
        <v>0</v>
      </c>
      <c r="EX30" s="199">
        <f t="shared" ca="1" si="252"/>
        <v>81740.665701881328</v>
      </c>
      <c r="EY30" s="200">
        <f t="shared" si="253"/>
        <v>1</v>
      </c>
      <c r="EZ30" s="201">
        <f t="shared" ca="1" si="254"/>
        <v>58232.583134749664</v>
      </c>
      <c r="FA30" s="200">
        <f t="shared" si="255"/>
        <v>1</v>
      </c>
      <c r="FB30" s="201" cm="1">
        <f t="array" ref="FB30">IF(LEFT($AG30,3)="Res",IF(OR($DQ30&gt;External_Threshold,$DG30&gt;0),1*Uplift*AWE*(External),0),0)</f>
        <v>15481.186685962373</v>
      </c>
      <c r="FC30" s="200">
        <f t="shared" si="256"/>
        <v>1</v>
      </c>
      <c r="FD30" s="201">
        <f t="shared" si="257"/>
        <v>0</v>
      </c>
      <c r="FE30" s="203">
        <f t="shared" si="341"/>
        <v>0</v>
      </c>
      <c r="FF30" s="199">
        <f t="shared" ca="1" si="258"/>
        <v>4683.058972503618</v>
      </c>
      <c r="FG30" s="200">
        <f t="shared" si="259"/>
        <v>0</v>
      </c>
      <c r="FH30" s="201">
        <f t="shared" ca="1" si="260"/>
        <v>0</v>
      </c>
      <c r="FI30" s="200">
        <f t="shared" si="261"/>
        <v>0</v>
      </c>
      <c r="FJ30" s="201" cm="1">
        <f t="array" ref="FJ30">IF(LEFT($AG30,3)="Res",IF(OR($DR30&gt;External_Threshold,$DH30&gt;0),1*Uplift*AWE*(External),0),0)</f>
        <v>15481.186685962373</v>
      </c>
      <c r="FK30" s="200">
        <f t="shared" si="262"/>
        <v>1</v>
      </c>
      <c r="FL30" s="201">
        <f t="shared" si="263"/>
        <v>0</v>
      </c>
      <c r="FM30" s="203">
        <f t="shared" si="342"/>
        <v>0</v>
      </c>
      <c r="FN30" s="199">
        <f t="shared" ca="1" si="264"/>
        <v>0</v>
      </c>
      <c r="FO30" s="200">
        <f t="shared" si="265"/>
        <v>0</v>
      </c>
      <c r="FP30" s="201">
        <f t="shared" ca="1" si="266"/>
        <v>0</v>
      </c>
      <c r="FQ30" s="200">
        <f t="shared" si="267"/>
        <v>0</v>
      </c>
      <c r="FR30" s="201" cm="1">
        <f t="array" ref="FR30">IF(LEFT($AG30,3)="Res",IF(OR($DS30&gt;External_Threshold,$DI30&gt;0),1*Uplift*AWE*(External),0),0)</f>
        <v>0</v>
      </c>
      <c r="FS30" s="200">
        <f t="shared" si="268"/>
        <v>0</v>
      </c>
      <c r="FT30" s="201">
        <f t="shared" si="269"/>
        <v>0</v>
      </c>
      <c r="FU30" s="203">
        <f t="shared" si="343"/>
        <v>0</v>
      </c>
      <c r="FV30" s="199">
        <f t="shared" ca="1" si="270"/>
        <v>0</v>
      </c>
      <c r="FW30" s="200">
        <f t="shared" si="271"/>
        <v>0</v>
      </c>
      <c r="FX30" s="201">
        <f t="shared" ca="1" si="272"/>
        <v>0</v>
      </c>
      <c r="FY30" s="200">
        <f t="shared" si="273"/>
        <v>0</v>
      </c>
      <c r="FZ30" s="201" cm="1">
        <f t="array" ref="FZ30">IF(LEFT($AG30,3)="Res",IF(OR($DT30&gt;External_Threshold,$DJ30&gt;0),1*Uplift*AWE*(External),0),0)</f>
        <v>0</v>
      </c>
      <c r="GA30" s="200">
        <f t="shared" si="274"/>
        <v>0</v>
      </c>
      <c r="GB30" s="201">
        <f t="shared" si="275"/>
        <v>0</v>
      </c>
      <c r="GC30" s="203">
        <f t="shared" si="344"/>
        <v>0</v>
      </c>
      <c r="GD30" s="199">
        <f t="shared" ca="1" si="276"/>
        <v>0</v>
      </c>
      <c r="GE30" s="200">
        <f t="shared" si="277"/>
        <v>0</v>
      </c>
      <c r="GF30" s="201">
        <f t="shared" ca="1" si="278"/>
        <v>0</v>
      </c>
      <c r="GG30" s="200">
        <f t="shared" si="279"/>
        <v>0</v>
      </c>
      <c r="GH30" s="201" cm="1">
        <f t="array" ref="GH30">IF(LEFT($AG30,3)="Res",IF(OR($DU30&gt;External_Threshold,$DK30&gt;0),1*Uplift*AWE*(External),0),0)</f>
        <v>0</v>
      </c>
      <c r="GI30" s="200">
        <f t="shared" si="280"/>
        <v>0</v>
      </c>
      <c r="GJ30" s="201">
        <f t="shared" si="281"/>
        <v>0</v>
      </c>
      <c r="GK30" s="203">
        <f t="shared" si="345"/>
        <v>0</v>
      </c>
      <c r="GL30" s="199">
        <f t="shared" ca="1" si="282"/>
        <v>0</v>
      </c>
      <c r="GM30" s="200">
        <f t="shared" si="283"/>
        <v>0</v>
      </c>
      <c r="GN30" s="201">
        <f t="shared" ca="1" si="284"/>
        <v>0</v>
      </c>
      <c r="GO30" s="200">
        <f t="shared" si="285"/>
        <v>0</v>
      </c>
      <c r="GP30" s="201" cm="1">
        <f t="array" ref="GP30">IF(LEFT($AG30,3)="Res",IF(OR($DV30&gt;External_Threshold,$DL30&gt;0),1*Uplift*AWE*(External),0),0)</f>
        <v>0</v>
      </c>
      <c r="GQ30" s="200">
        <f t="shared" si="286"/>
        <v>0</v>
      </c>
      <c r="GR30" s="201">
        <f t="shared" si="287"/>
        <v>0</v>
      </c>
      <c r="GS30" s="203">
        <f t="shared" si="346"/>
        <v>0</v>
      </c>
      <c r="GT30" s="199">
        <f t="shared" ca="1" si="288"/>
        <v>0</v>
      </c>
      <c r="GU30" s="200">
        <f t="shared" si="289"/>
        <v>0</v>
      </c>
      <c r="GV30" s="201">
        <f t="shared" ca="1" si="290"/>
        <v>0</v>
      </c>
      <c r="GW30" s="200">
        <f t="shared" si="291"/>
        <v>0</v>
      </c>
      <c r="GX30" s="201" cm="1">
        <f t="array" ref="GX30">IF(LEFT($AG30,3)="Res",IF(OR($DW30&gt;External_Threshold,$DM30&gt;0),1*Uplift*AWE*(External),0),0)</f>
        <v>0</v>
      </c>
      <c r="GY30" s="200">
        <f t="shared" si="292"/>
        <v>0</v>
      </c>
      <c r="GZ30" s="201">
        <f t="shared" si="293"/>
        <v>0</v>
      </c>
      <c r="HA30" s="203">
        <f t="shared" si="347"/>
        <v>0</v>
      </c>
      <c r="HB30" s="54"/>
      <c r="HC30" s="54"/>
      <c r="HD30" s="54"/>
      <c r="HE30" s="54"/>
      <c r="HF30" s="54"/>
      <c r="HG30" s="201">
        <f t="shared" ca="1" si="348"/>
        <v>268490.42161415849</v>
      </c>
      <c r="HH30" s="201">
        <f t="shared" ca="1" si="349"/>
        <v>195338.66212134465</v>
      </c>
      <c r="HI30" s="201">
        <f t="shared" ca="1" si="350"/>
        <v>173221.63450911985</v>
      </c>
      <c r="HJ30" s="201">
        <f t="shared" ca="1" si="351"/>
        <v>155454.43552259335</v>
      </c>
      <c r="HK30" s="201">
        <f t="shared" ca="1" si="352"/>
        <v>20164.245658465992</v>
      </c>
      <c r="HL30" s="201">
        <f t="shared" ca="1" si="353"/>
        <v>0</v>
      </c>
      <c r="HM30" s="201">
        <f t="shared" ca="1" si="354"/>
        <v>0</v>
      </c>
      <c r="HN30" s="201">
        <f t="shared" ca="1" si="355"/>
        <v>0</v>
      </c>
      <c r="HO30" s="201">
        <f t="shared" ca="1" si="356"/>
        <v>0</v>
      </c>
      <c r="HP30" s="201">
        <f t="shared" ca="1" si="357"/>
        <v>0</v>
      </c>
      <c r="HQ30" s="54"/>
    </row>
    <row r="31" spans="1:228" x14ac:dyDescent="0.3">
      <c r="A31" s="513">
        <v>13</v>
      </c>
      <c r="B31" s="514" t="s">
        <v>436</v>
      </c>
      <c r="C31" s="514" t="s">
        <v>390</v>
      </c>
      <c r="D31" s="514" t="s">
        <v>390</v>
      </c>
      <c r="E31" s="513">
        <v>1</v>
      </c>
      <c r="F31" s="515">
        <v>6.77</v>
      </c>
      <c r="G31" s="515">
        <v>6.14</v>
      </c>
      <c r="H31" s="513">
        <v>1</v>
      </c>
      <c r="I31" s="517">
        <v>1</v>
      </c>
      <c r="J31" s="518" t="s">
        <v>44</v>
      </c>
      <c r="K31" s="513">
        <f t="shared" si="204"/>
        <v>240</v>
      </c>
      <c r="L31" s="519">
        <v>7.56</v>
      </c>
      <c r="M31" s="519">
        <v>6.5699999999999994</v>
      </c>
      <c r="N31" s="519">
        <v>6.27</v>
      </c>
      <c r="O31" s="519">
        <v>5.97</v>
      </c>
      <c r="P31" s="519">
        <v>5.47</v>
      </c>
      <c r="Q31" s="519">
        <v>5</v>
      </c>
      <c r="R31" s="519">
        <v>4.2</v>
      </c>
      <c r="S31" s="519">
        <v>0</v>
      </c>
      <c r="T31" s="519">
        <v>0</v>
      </c>
      <c r="U31" s="519">
        <v>0</v>
      </c>
      <c r="V31" s="536"/>
      <c r="W31" s="536"/>
      <c r="X31" s="536"/>
      <c r="Y31" s="536"/>
      <c r="Z31" s="536"/>
      <c r="AA31" s="536"/>
      <c r="AB31" s="536"/>
      <c r="AC31" s="536"/>
      <c r="AD31" s="536"/>
      <c r="AE31" s="536"/>
      <c r="AF31" s="54"/>
      <c r="AG31" s="204" t="str">
        <f t="shared" si="465"/>
        <v>Res1</v>
      </c>
      <c r="AH31" s="204">
        <f t="shared" si="294"/>
        <v>6</v>
      </c>
      <c r="AI31" s="204">
        <f t="shared" si="205"/>
        <v>1</v>
      </c>
      <c r="AJ31" s="54"/>
      <c r="AK31" s="74">
        <f>IFERROR(IF(H31&gt;4,0,AI31*Inputs!$C$55),0)</f>
        <v>2.6</v>
      </c>
      <c r="AL31" s="81">
        <f>IFERROR(Inputs!$C$73,0)</f>
        <v>5</v>
      </c>
      <c r="AM31" s="211">
        <f>IFERROR(Inputs!$C$74,0)</f>
        <v>0.24299999999999999</v>
      </c>
      <c r="AN31" s="446">
        <f>IFERROR(HLOOKUP(HLOOKUP(AN$17,$V$18:$AE31,COUNTA($AK$18:$AK31),FALSE),Inputs!$B$58:$H$59,2,FALSE),0)</f>
        <v>0</v>
      </c>
      <c r="AO31" s="447">
        <f t="shared" si="295"/>
        <v>0</v>
      </c>
      <c r="AP31" s="447">
        <f t="shared" si="296"/>
        <v>0</v>
      </c>
      <c r="AQ31" s="446">
        <f>IFERROR(HLOOKUP(HLOOKUP(AQ$17,$V$18:$AE31,COUNTA($AK$18:$AK31),FALSE),Inputs!$B$58:$H$59,2,FALSE),0)</f>
        <v>0</v>
      </c>
      <c r="AR31" s="447">
        <f t="shared" ref="AR31" si="484">2*$AK31*AQ31*$AL31/100*$AM31</f>
        <v>0</v>
      </c>
      <c r="AS31" s="447">
        <f t="shared" si="298"/>
        <v>0</v>
      </c>
      <c r="AT31" s="446">
        <f>IFERROR(HLOOKUP(HLOOKUP(AT$17,$V$18:$AE31,COUNTA($AK$18:$AK31),FALSE),Inputs!$B$58:$H$59,2,FALSE),0)</f>
        <v>0</v>
      </c>
      <c r="AU31" s="447">
        <f t="shared" ref="AU31" si="485">2*$AK31*AT31*$AL31/100*$AM31</f>
        <v>0</v>
      </c>
      <c r="AV31" s="447">
        <f t="shared" si="300"/>
        <v>0</v>
      </c>
      <c r="AW31" s="446">
        <f>IFERROR(HLOOKUP(HLOOKUP(AW$17,$V$18:$AE31,COUNTA($AK$18:$AK31),FALSE),Inputs!$B$58:$H$59,2,FALSE),0)</f>
        <v>0</v>
      </c>
      <c r="AX31" s="447">
        <f t="shared" ref="AX31" si="486">2*$AK31*AW31*$AL31/100*$AM31</f>
        <v>0</v>
      </c>
      <c r="AY31" s="447">
        <f t="shared" si="302"/>
        <v>0</v>
      </c>
      <c r="AZ31" s="446">
        <f>IFERROR(HLOOKUP(HLOOKUP(AZ$17,$V$18:$AE31,COUNTA($AK$18:$AK31),FALSE),Inputs!$B$58:$H$59,2,FALSE),0)</f>
        <v>0</v>
      </c>
      <c r="BA31" s="447">
        <f t="shared" ref="BA31" si="487">2*$AK31*AZ31*$AL31/100*$AM31</f>
        <v>0</v>
      </c>
      <c r="BB31" s="447">
        <f t="shared" si="304"/>
        <v>0</v>
      </c>
      <c r="BC31" s="446">
        <f>IFERROR(HLOOKUP(HLOOKUP(BC$17,$V$18:$AE31,COUNTA($AK$18:$AK31),FALSE),Inputs!$B$58:$H$59,2,FALSE),0)</f>
        <v>0</v>
      </c>
      <c r="BD31" s="447">
        <f t="shared" ref="BD31" si="488">2*$AK31*BC31*$AL31/100*$AM31</f>
        <v>0</v>
      </c>
      <c r="BE31" s="447">
        <f t="shared" si="306"/>
        <v>0</v>
      </c>
      <c r="BF31" s="446">
        <f>IFERROR(HLOOKUP(HLOOKUP(BF$17,$V$18:$AE31,COUNTA($AK$18:$AK31),FALSE),Inputs!$B$58:$H$59,2,FALSE),0)</f>
        <v>0</v>
      </c>
      <c r="BG31" s="447">
        <f t="shared" ref="BG31" si="489">2*$AK31*BF31*$AL31/100*$AM31</f>
        <v>0</v>
      </c>
      <c r="BH31" s="447">
        <f t="shared" si="308"/>
        <v>0</v>
      </c>
      <c r="BI31" s="446">
        <f>IFERROR(HLOOKUP(HLOOKUP(BI$17,$V$18:$AE31,COUNTA($AK$18:$AK31),FALSE),Inputs!$B$58:$H$59,2,FALSE),0)</f>
        <v>0</v>
      </c>
      <c r="BJ31" s="447">
        <f t="shared" ref="BJ31" si="490">2*$AK31*BI31*$AL31/100*$AM31</f>
        <v>0</v>
      </c>
      <c r="BK31" s="447">
        <f t="shared" si="310"/>
        <v>0</v>
      </c>
      <c r="BL31" s="446">
        <f>IFERROR(HLOOKUP(HLOOKUP(BL$17,$V$18:$AE31,COUNTA($AK$18:$AK31),FALSE),Inputs!$B$58:$H$59,2,FALSE),0)</f>
        <v>0</v>
      </c>
      <c r="BM31" s="447">
        <f t="shared" ref="BM31" si="491">2*$AK31*BL31*$AL31/100*$AM31</f>
        <v>0</v>
      </c>
      <c r="BN31" s="447">
        <f t="shared" si="312"/>
        <v>0</v>
      </c>
      <c r="BO31" s="446">
        <f>IFERROR(HLOOKUP(HLOOKUP(BO$17,$V$18:$AE31,COUNTA($AK$18:$AK31),FALSE),Inputs!$B$58:$H$59,2,FALSE),0)</f>
        <v>0</v>
      </c>
      <c r="BP31" s="447">
        <f t="shared" ref="BP31" si="492">2*$AK31*BO31*$AL31/100*$AM31</f>
        <v>0</v>
      </c>
      <c r="BQ31" s="447">
        <f t="shared" si="314"/>
        <v>0</v>
      </c>
      <c r="BR31" s="54"/>
      <c r="BS31" s="103">
        <f t="shared" ca="1" si="224"/>
        <v>120.77410414857694</v>
      </c>
      <c r="BT31" s="103">
        <f t="shared" ca="1" si="396"/>
        <v>94.94161683776953</v>
      </c>
      <c r="BU31" s="103">
        <f t="shared" si="397"/>
        <v>54.02934153400868</v>
      </c>
      <c r="BV31" s="103">
        <f t="shared" si="398"/>
        <v>0</v>
      </c>
      <c r="BW31" s="152">
        <f t="shared" ca="1" si="399"/>
        <v>269.74506252035513</v>
      </c>
      <c r="BX31" s="441"/>
      <c r="BY31" s="96" t="str">
        <f>TEXT($P$10,"0%")&amp;" AEP"</f>
        <v>2% AEP</v>
      </c>
      <c r="BZ31" s="355">
        <f t="shared" ref="BZ31" si="493">SUM(BZ32:BZ33)</f>
        <v>27</v>
      </c>
      <c r="CA31" s="92">
        <f t="shared" ref="CA31" si="494">MAX(CA32:CA33)</f>
        <v>1.87</v>
      </c>
      <c r="CB31" s="93">
        <f ca="1">$FF$15</f>
        <v>3163800.1653450415</v>
      </c>
      <c r="CC31" s="93">
        <f ca="1">$FF$14</f>
        <v>117177.78390166821</v>
      </c>
      <c r="CD31" s="54"/>
      <c r="CE31" s="96" t="str">
        <f>TEXT($P$10,"0%")&amp;" AEP"</f>
        <v>2% AEP</v>
      </c>
      <c r="CF31" s="355">
        <f t="shared" ref="CF31" si="495">SUM(CF32:CF33)</f>
        <v>27</v>
      </c>
      <c r="CG31" s="92">
        <f t="shared" ref="CG31" si="496">MAX(CG32:CG33)</f>
        <v>1.87</v>
      </c>
      <c r="CH31" s="93">
        <f ca="1">$FH$15</f>
        <v>1835158.7888177452</v>
      </c>
      <c r="CI31" s="93">
        <f ca="1">$FH$14</f>
        <v>67968.844030286855</v>
      </c>
      <c r="CJ31" s="54"/>
      <c r="CK31" s="96" t="str">
        <f>TEXT($P$10,"0%")&amp;" AEP"</f>
        <v>2% AEP</v>
      </c>
      <c r="CL31" s="355">
        <f t="shared" ref="CL31" si="497">SUM(CL32:CL33)</f>
        <v>54</v>
      </c>
      <c r="CM31" s="92">
        <f t="shared" ref="CM31" si="498">MAX(CM32:CM33)</f>
        <v>2.37</v>
      </c>
      <c r="CN31" s="93">
        <f>$FJ$15</f>
        <v>630084.29811866861</v>
      </c>
      <c r="CO31" s="93">
        <f>$FJ$14</f>
        <v>11668.227742938308</v>
      </c>
      <c r="CP31" s="54"/>
      <c r="CQ31" s="96" t="str">
        <f>TEXT($P$10,"0%")&amp;" AEP"</f>
        <v>2% AEP</v>
      </c>
      <c r="CR31" s="355">
        <f t="shared" ref="CR31" si="499">SUM(CR32:CR33)</f>
        <v>27</v>
      </c>
      <c r="CS31" s="92">
        <f t="shared" ref="CS31" si="500">MAX(CS32:CS33)</f>
        <v>1.87</v>
      </c>
      <c r="CT31" s="93">
        <f>$FL$15</f>
        <v>0</v>
      </c>
      <c r="CU31" s="93" t="str">
        <f>$FL$14</f>
        <v>--</v>
      </c>
      <c r="CV31" s="54"/>
      <c r="CW31" s="96" t="str">
        <f>TEXT($P$10,"0%")&amp;" AEP"</f>
        <v>2% AEP</v>
      </c>
      <c r="CX31" s="355">
        <f t="shared" ref="CX31" si="501">SUM(CX32:CX33)</f>
        <v>27</v>
      </c>
      <c r="CY31" s="92">
        <f t="shared" ref="CY31" si="502">MAX(CY32:CY33)</f>
        <v>1.87</v>
      </c>
      <c r="CZ31" s="93">
        <f ca="1">SUM(DetailedStructural[[#This Row],[Total Damages]],DetailedInternal[[#This Row],[Total Damages]],DetailedExternal[[#This Row],[Total Damages]],DetailedRiskToLife[[#This Row],[Total Damages]])</f>
        <v>5629043.2522814553</v>
      </c>
      <c r="DA31" s="93">
        <f ca="1">SUM(DetailedStructural[[#This Row],[AAD per Property]],DetailedInternal[[#This Row],[AAD per Property]],DetailedExternal[[#This Row],[AAD per Property]],DetailedRiskToLife[[#This Row],[AAD per Property]])</f>
        <v>196814.85567489336</v>
      </c>
      <c r="DB31" s="54"/>
      <c r="DC31" s="54"/>
      <c r="DD31" s="188">
        <f t="shared" si="315"/>
        <v>0.79</v>
      </c>
      <c r="DE31" s="188">
        <f t="shared" si="316"/>
        <v>-0.20000000000000018</v>
      </c>
      <c r="DF31" s="188">
        <f t="shared" si="317"/>
        <v>-0.3</v>
      </c>
      <c r="DG31" s="188">
        <f t="shared" si="318"/>
        <v>-0.3</v>
      </c>
      <c r="DH31" s="188">
        <f t="shared" si="319"/>
        <v>-0.3</v>
      </c>
      <c r="DI31" s="188">
        <f t="shared" si="320"/>
        <v>-0.3</v>
      </c>
      <c r="DJ31" s="188">
        <f t="shared" si="321"/>
        <v>-0.3</v>
      </c>
      <c r="DK31" s="188">
        <f t="shared" si="322"/>
        <v>-0.3</v>
      </c>
      <c r="DL31" s="188">
        <f t="shared" si="323"/>
        <v>-0.3</v>
      </c>
      <c r="DM31" s="188">
        <f t="shared" si="324"/>
        <v>-0.3</v>
      </c>
      <c r="DN31" s="189">
        <f t="shared" si="325"/>
        <v>1.42</v>
      </c>
      <c r="DO31" s="189">
        <f t="shared" si="326"/>
        <v>0.42999999999999972</v>
      </c>
      <c r="DP31" s="189">
        <f t="shared" si="327"/>
        <v>0.12999999999999989</v>
      </c>
      <c r="DQ31" s="189">
        <f t="shared" si="328"/>
        <v>0</v>
      </c>
      <c r="DR31" s="189">
        <f t="shared" si="329"/>
        <v>0</v>
      </c>
      <c r="DS31" s="189">
        <f t="shared" si="330"/>
        <v>0</v>
      </c>
      <c r="DT31" s="189">
        <f t="shared" si="331"/>
        <v>0</v>
      </c>
      <c r="DU31" s="189">
        <f t="shared" si="332"/>
        <v>0</v>
      </c>
      <c r="DV31" s="189">
        <f t="shared" si="333"/>
        <v>0</v>
      </c>
      <c r="DW31" s="189">
        <f t="shared" si="334"/>
        <v>0</v>
      </c>
      <c r="DX31" s="54"/>
      <c r="DY31" s="54"/>
      <c r="DZ31" s="199">
        <f t="shared" ca="1" si="237"/>
        <v>115118.10419681622</v>
      </c>
      <c r="EA31" s="200">
        <f t="shared" si="335"/>
        <v>1</v>
      </c>
      <c r="EB31" s="201">
        <f t="shared" ca="1" si="238"/>
        <v>95418.710389718122</v>
      </c>
      <c r="EC31" s="200">
        <f t="shared" si="336"/>
        <v>1</v>
      </c>
      <c r="ED31" s="201" cm="1">
        <f t="array" ref="ED31">IF(LEFT($AG31,3)="Res",IF(OR($DN31&gt;External_Threshold,$DD31&gt;0),1*Uplift*AWE*(External),0),0)</f>
        <v>15481.186685962373</v>
      </c>
      <c r="EE31" s="200">
        <f t="shared" si="337"/>
        <v>1</v>
      </c>
      <c r="EF31" s="201">
        <f t="shared" si="239"/>
        <v>0</v>
      </c>
      <c r="EG31" s="203">
        <f t="shared" si="338"/>
        <v>0</v>
      </c>
      <c r="EH31" s="199">
        <f t="shared" ca="1" si="240"/>
        <v>2497.6314520019291</v>
      </c>
      <c r="EI31" s="200">
        <f t="shared" si="241"/>
        <v>0</v>
      </c>
      <c r="EJ31" s="201">
        <f t="shared" ca="1" si="242"/>
        <v>0</v>
      </c>
      <c r="EK31" s="200">
        <f t="shared" si="243"/>
        <v>0</v>
      </c>
      <c r="EL31" s="201" cm="1">
        <f t="array" ref="EL31">IF(LEFT($AG31,3)="Res",IF(OR($DO31&gt;External_Threshold,$DE31&gt;0),1*Uplift*AWE*(External),0),0)</f>
        <v>15481.186685962373</v>
      </c>
      <c r="EM31" s="200">
        <f t="shared" si="244"/>
        <v>1</v>
      </c>
      <c r="EN31" s="201">
        <f t="shared" si="245"/>
        <v>0</v>
      </c>
      <c r="EO31" s="203">
        <f t="shared" si="339"/>
        <v>0</v>
      </c>
      <c r="EP31" s="199">
        <f t="shared" ca="1" si="246"/>
        <v>0</v>
      </c>
      <c r="EQ31" s="200">
        <f t="shared" si="247"/>
        <v>0</v>
      </c>
      <c r="ER31" s="201">
        <f t="shared" ca="1" si="248"/>
        <v>0</v>
      </c>
      <c r="ES31" s="200">
        <f t="shared" si="249"/>
        <v>0</v>
      </c>
      <c r="ET31" s="201" cm="1">
        <f t="array" ref="ET31">IF(LEFT($AG31,3)="Res",IF(OR($DP31&gt;External_Threshold,$DF31&gt;0),1*Uplift*AWE*(External),0),0)</f>
        <v>0</v>
      </c>
      <c r="EU31" s="200">
        <f t="shared" si="250"/>
        <v>1</v>
      </c>
      <c r="EV31" s="201">
        <f t="shared" si="251"/>
        <v>0</v>
      </c>
      <c r="EW31" s="203">
        <f t="shared" si="340"/>
        <v>0</v>
      </c>
      <c r="EX31" s="199">
        <f t="shared" ca="1" si="252"/>
        <v>0</v>
      </c>
      <c r="EY31" s="200">
        <f t="shared" si="253"/>
        <v>0</v>
      </c>
      <c r="EZ31" s="201">
        <f t="shared" ca="1" si="254"/>
        <v>0</v>
      </c>
      <c r="FA31" s="200">
        <f t="shared" si="255"/>
        <v>0</v>
      </c>
      <c r="FB31" s="201" cm="1">
        <f t="array" ref="FB31">IF(LEFT($AG31,3)="Res",IF(OR($DQ31&gt;External_Threshold,$DG31&gt;0),1*Uplift*AWE*(External),0),0)</f>
        <v>0</v>
      </c>
      <c r="FC31" s="200">
        <f t="shared" si="256"/>
        <v>0</v>
      </c>
      <c r="FD31" s="201">
        <f t="shared" si="257"/>
        <v>0</v>
      </c>
      <c r="FE31" s="203">
        <f t="shared" si="341"/>
        <v>0</v>
      </c>
      <c r="FF31" s="199">
        <f t="shared" ca="1" si="258"/>
        <v>0</v>
      </c>
      <c r="FG31" s="200">
        <f t="shared" si="259"/>
        <v>0</v>
      </c>
      <c r="FH31" s="201">
        <f t="shared" ca="1" si="260"/>
        <v>0</v>
      </c>
      <c r="FI31" s="200">
        <f t="shared" si="261"/>
        <v>0</v>
      </c>
      <c r="FJ31" s="201" cm="1">
        <f t="array" ref="FJ31">IF(LEFT($AG31,3)="Res",IF(OR($DR31&gt;External_Threshold,$DH31&gt;0),1*Uplift*AWE*(External),0),0)</f>
        <v>0</v>
      </c>
      <c r="FK31" s="200">
        <f t="shared" si="262"/>
        <v>0</v>
      </c>
      <c r="FL31" s="201">
        <f t="shared" si="263"/>
        <v>0</v>
      </c>
      <c r="FM31" s="203">
        <f t="shared" si="342"/>
        <v>0</v>
      </c>
      <c r="FN31" s="199">
        <f t="shared" ca="1" si="264"/>
        <v>0</v>
      </c>
      <c r="FO31" s="200">
        <f t="shared" si="265"/>
        <v>0</v>
      </c>
      <c r="FP31" s="201">
        <f t="shared" ca="1" si="266"/>
        <v>0</v>
      </c>
      <c r="FQ31" s="200">
        <f t="shared" si="267"/>
        <v>0</v>
      </c>
      <c r="FR31" s="201" cm="1">
        <f t="array" ref="FR31">IF(LEFT($AG31,3)="Res",IF(OR($DS31&gt;External_Threshold,$DI31&gt;0),1*Uplift*AWE*(External),0),0)</f>
        <v>0</v>
      </c>
      <c r="FS31" s="200">
        <f t="shared" si="268"/>
        <v>0</v>
      </c>
      <c r="FT31" s="201">
        <f t="shared" si="269"/>
        <v>0</v>
      </c>
      <c r="FU31" s="203">
        <f t="shared" si="343"/>
        <v>0</v>
      </c>
      <c r="FV31" s="199">
        <f t="shared" ca="1" si="270"/>
        <v>0</v>
      </c>
      <c r="FW31" s="200">
        <f t="shared" si="271"/>
        <v>0</v>
      </c>
      <c r="FX31" s="201">
        <f t="shared" ca="1" si="272"/>
        <v>0</v>
      </c>
      <c r="FY31" s="200">
        <f t="shared" si="273"/>
        <v>0</v>
      </c>
      <c r="FZ31" s="201" cm="1">
        <f t="array" ref="FZ31">IF(LEFT($AG31,3)="Res",IF(OR($DT31&gt;External_Threshold,$DJ31&gt;0),1*Uplift*AWE*(External),0),0)</f>
        <v>0</v>
      </c>
      <c r="GA31" s="200">
        <f t="shared" si="274"/>
        <v>0</v>
      </c>
      <c r="GB31" s="201">
        <f t="shared" si="275"/>
        <v>0</v>
      </c>
      <c r="GC31" s="203">
        <f t="shared" si="344"/>
        <v>0</v>
      </c>
      <c r="GD31" s="199">
        <f t="shared" ca="1" si="276"/>
        <v>0</v>
      </c>
      <c r="GE31" s="200">
        <f t="shared" si="277"/>
        <v>0</v>
      </c>
      <c r="GF31" s="201">
        <f t="shared" ca="1" si="278"/>
        <v>0</v>
      </c>
      <c r="GG31" s="200">
        <f t="shared" si="279"/>
        <v>0</v>
      </c>
      <c r="GH31" s="201" cm="1">
        <f t="array" ref="GH31">IF(LEFT($AG31,3)="Res",IF(OR($DU31&gt;External_Threshold,$DK31&gt;0),1*Uplift*AWE*(External),0),0)</f>
        <v>0</v>
      </c>
      <c r="GI31" s="200">
        <f t="shared" si="280"/>
        <v>0</v>
      </c>
      <c r="GJ31" s="201">
        <f t="shared" si="281"/>
        <v>0</v>
      </c>
      <c r="GK31" s="203">
        <f t="shared" si="345"/>
        <v>0</v>
      </c>
      <c r="GL31" s="199">
        <f t="shared" ca="1" si="282"/>
        <v>0</v>
      </c>
      <c r="GM31" s="200">
        <f t="shared" si="283"/>
        <v>0</v>
      </c>
      <c r="GN31" s="201">
        <f t="shared" ca="1" si="284"/>
        <v>0</v>
      </c>
      <c r="GO31" s="200">
        <f t="shared" si="285"/>
        <v>0</v>
      </c>
      <c r="GP31" s="201" cm="1">
        <f t="array" ref="GP31">IF(LEFT($AG31,3)="Res",IF(OR($DV31&gt;External_Threshold,$DL31&gt;0),1*Uplift*AWE*(External),0),0)</f>
        <v>0</v>
      </c>
      <c r="GQ31" s="200">
        <f t="shared" si="286"/>
        <v>0</v>
      </c>
      <c r="GR31" s="201">
        <f t="shared" si="287"/>
        <v>0</v>
      </c>
      <c r="GS31" s="203">
        <f t="shared" si="346"/>
        <v>0</v>
      </c>
      <c r="GT31" s="199">
        <f t="shared" ca="1" si="288"/>
        <v>0</v>
      </c>
      <c r="GU31" s="200">
        <f t="shared" si="289"/>
        <v>0</v>
      </c>
      <c r="GV31" s="201">
        <f t="shared" ca="1" si="290"/>
        <v>0</v>
      </c>
      <c r="GW31" s="200">
        <f t="shared" si="291"/>
        <v>0</v>
      </c>
      <c r="GX31" s="201" cm="1">
        <f t="array" ref="GX31">IF(LEFT($AG31,3)="Res",IF(OR($DW31&gt;External_Threshold,$DM31&gt;0),1*Uplift*AWE*(External),0),0)</f>
        <v>0</v>
      </c>
      <c r="GY31" s="200">
        <f t="shared" si="292"/>
        <v>0</v>
      </c>
      <c r="GZ31" s="201">
        <f t="shared" si="293"/>
        <v>0</v>
      </c>
      <c r="HA31" s="203">
        <f t="shared" si="347"/>
        <v>0</v>
      </c>
      <c r="HB31" s="54"/>
      <c r="HC31" s="54"/>
      <c r="HD31" s="54"/>
      <c r="HE31" s="54"/>
      <c r="HF31" s="54"/>
      <c r="HG31" s="201">
        <f t="shared" ca="1" si="348"/>
        <v>226018.00127249671</v>
      </c>
      <c r="HH31" s="201">
        <f t="shared" ca="1" si="349"/>
        <v>17978.818137964303</v>
      </c>
      <c r="HI31" s="201">
        <f t="shared" ca="1" si="350"/>
        <v>0</v>
      </c>
      <c r="HJ31" s="201">
        <f t="shared" ca="1" si="351"/>
        <v>0</v>
      </c>
      <c r="HK31" s="201">
        <f t="shared" ca="1" si="352"/>
        <v>0</v>
      </c>
      <c r="HL31" s="201">
        <f t="shared" ca="1" si="353"/>
        <v>0</v>
      </c>
      <c r="HM31" s="201">
        <f t="shared" ca="1" si="354"/>
        <v>0</v>
      </c>
      <c r="HN31" s="201">
        <f t="shared" ca="1" si="355"/>
        <v>0</v>
      </c>
      <c r="HO31" s="201">
        <f t="shared" ca="1" si="356"/>
        <v>0</v>
      </c>
      <c r="HP31" s="201">
        <f t="shared" ca="1" si="357"/>
        <v>0</v>
      </c>
      <c r="HQ31" s="54"/>
    </row>
    <row r="32" spans="1:228" x14ac:dyDescent="0.3">
      <c r="A32" s="513">
        <v>14</v>
      </c>
      <c r="B32" s="514" t="s">
        <v>437</v>
      </c>
      <c r="C32" s="514" t="s">
        <v>390</v>
      </c>
      <c r="D32" s="514" t="s">
        <v>390</v>
      </c>
      <c r="E32" s="513">
        <v>1</v>
      </c>
      <c r="F32" s="515">
        <v>6.57</v>
      </c>
      <c r="G32" s="515">
        <v>5.49</v>
      </c>
      <c r="H32" s="513">
        <v>1</v>
      </c>
      <c r="I32" s="517">
        <v>1</v>
      </c>
      <c r="J32" s="518" t="s">
        <v>295</v>
      </c>
      <c r="K32" s="513">
        <f t="shared" si="204"/>
        <v>220</v>
      </c>
      <c r="L32" s="519">
        <v>7.56</v>
      </c>
      <c r="M32" s="519">
        <v>6.55</v>
      </c>
      <c r="N32" s="519">
        <v>6.25</v>
      </c>
      <c r="O32" s="519">
        <v>5.95</v>
      </c>
      <c r="P32" s="519">
        <v>5.47</v>
      </c>
      <c r="Q32" s="519">
        <v>5</v>
      </c>
      <c r="R32" s="519">
        <v>4.2</v>
      </c>
      <c r="S32" s="519">
        <v>0</v>
      </c>
      <c r="T32" s="519">
        <v>0</v>
      </c>
      <c r="U32" s="519">
        <v>0</v>
      </c>
      <c r="V32" s="536"/>
      <c r="W32" s="536"/>
      <c r="X32" s="536"/>
      <c r="Y32" s="536"/>
      <c r="Z32" s="536"/>
      <c r="AA32" s="536"/>
      <c r="AB32" s="536"/>
      <c r="AC32" s="536"/>
      <c r="AD32" s="536"/>
      <c r="AE32" s="536"/>
      <c r="AF32" s="54"/>
      <c r="AG32" s="204" t="str">
        <f t="shared" si="465"/>
        <v>Res1</v>
      </c>
      <c r="AH32" s="204">
        <f t="shared" si="294"/>
        <v>6</v>
      </c>
      <c r="AI32" s="204">
        <f t="shared" si="205"/>
        <v>1</v>
      </c>
      <c r="AJ32" s="54"/>
      <c r="AK32" s="74">
        <f>IFERROR(IF(H32&gt;4,0,AI32*Inputs!$C$55),0)</f>
        <v>2.6</v>
      </c>
      <c r="AL32" s="81">
        <f>IFERROR(Inputs!$C$73,0)</f>
        <v>5</v>
      </c>
      <c r="AM32" s="211">
        <f>IFERROR(Inputs!$C$74,0)</f>
        <v>0.24299999999999999</v>
      </c>
      <c r="AN32" s="446">
        <f>IFERROR(HLOOKUP(HLOOKUP(AN$17,$V$18:$AE32,COUNTA($AK$18:$AK32),FALSE),Inputs!$B$58:$H$59,2,FALSE),0)</f>
        <v>0</v>
      </c>
      <c r="AO32" s="447">
        <f t="shared" si="295"/>
        <v>0</v>
      </c>
      <c r="AP32" s="447">
        <f t="shared" si="296"/>
        <v>0</v>
      </c>
      <c r="AQ32" s="446">
        <f>IFERROR(HLOOKUP(HLOOKUP(AQ$17,$V$18:$AE32,COUNTA($AK$18:$AK32),FALSE),Inputs!$B$58:$H$59,2,FALSE),0)</f>
        <v>0</v>
      </c>
      <c r="AR32" s="447">
        <f t="shared" ref="AR32" si="503">2*$AK32*AQ32*$AL32/100*$AM32</f>
        <v>0</v>
      </c>
      <c r="AS32" s="447">
        <f t="shared" si="298"/>
        <v>0</v>
      </c>
      <c r="AT32" s="446">
        <f>IFERROR(HLOOKUP(HLOOKUP(AT$17,$V$18:$AE32,COUNTA($AK$18:$AK32),FALSE),Inputs!$B$58:$H$59,2,FALSE),0)</f>
        <v>0</v>
      </c>
      <c r="AU32" s="447">
        <f t="shared" ref="AU32" si="504">2*$AK32*AT32*$AL32/100*$AM32</f>
        <v>0</v>
      </c>
      <c r="AV32" s="447">
        <f t="shared" si="300"/>
        <v>0</v>
      </c>
      <c r="AW32" s="446">
        <f>IFERROR(HLOOKUP(HLOOKUP(AW$17,$V$18:$AE32,COUNTA($AK$18:$AK32),FALSE),Inputs!$B$58:$H$59,2,FALSE),0)</f>
        <v>0</v>
      </c>
      <c r="AX32" s="447">
        <f t="shared" ref="AX32" si="505">2*$AK32*AW32*$AL32/100*$AM32</f>
        <v>0</v>
      </c>
      <c r="AY32" s="447">
        <f t="shared" si="302"/>
        <v>0</v>
      </c>
      <c r="AZ32" s="446">
        <f>IFERROR(HLOOKUP(HLOOKUP(AZ$17,$V$18:$AE32,COUNTA($AK$18:$AK32),FALSE),Inputs!$B$58:$H$59,2,FALSE),0)</f>
        <v>0</v>
      </c>
      <c r="BA32" s="447">
        <f t="shared" ref="BA32" si="506">2*$AK32*AZ32*$AL32/100*$AM32</f>
        <v>0</v>
      </c>
      <c r="BB32" s="447">
        <f t="shared" si="304"/>
        <v>0</v>
      </c>
      <c r="BC32" s="446">
        <f>IFERROR(HLOOKUP(HLOOKUP(BC$17,$V$18:$AE32,COUNTA($AK$18:$AK32),FALSE),Inputs!$B$58:$H$59,2,FALSE),0)</f>
        <v>0</v>
      </c>
      <c r="BD32" s="447">
        <f t="shared" ref="BD32" si="507">2*$AK32*BC32*$AL32/100*$AM32</f>
        <v>0</v>
      </c>
      <c r="BE32" s="447">
        <f t="shared" si="306"/>
        <v>0</v>
      </c>
      <c r="BF32" s="446">
        <f>IFERROR(HLOOKUP(HLOOKUP(BF$17,$V$18:$AE32,COUNTA($AK$18:$AK32),FALSE),Inputs!$B$58:$H$59,2,FALSE),0)</f>
        <v>0</v>
      </c>
      <c r="BG32" s="447">
        <f t="shared" ref="BG32" si="508">2*$AK32*BF32*$AL32/100*$AM32</f>
        <v>0</v>
      </c>
      <c r="BH32" s="447">
        <f t="shared" si="308"/>
        <v>0</v>
      </c>
      <c r="BI32" s="446">
        <f>IFERROR(HLOOKUP(HLOOKUP(BI$17,$V$18:$AE32,COUNTA($AK$18:$AK32),FALSE),Inputs!$B$58:$H$59,2,FALSE),0)</f>
        <v>0</v>
      </c>
      <c r="BJ32" s="447">
        <f t="shared" ref="BJ32" si="509">2*$AK32*BI32*$AL32/100*$AM32</f>
        <v>0</v>
      </c>
      <c r="BK32" s="447">
        <f t="shared" si="310"/>
        <v>0</v>
      </c>
      <c r="BL32" s="446">
        <f>IFERROR(HLOOKUP(HLOOKUP(BL$17,$V$18:$AE32,COUNTA($AK$18:$AK32),FALSE),Inputs!$B$58:$H$59,2,FALSE),0)</f>
        <v>0</v>
      </c>
      <c r="BM32" s="447">
        <f t="shared" ref="BM32" si="510">2*$AK32*BL32*$AL32/100*$AM32</f>
        <v>0</v>
      </c>
      <c r="BN32" s="447">
        <f t="shared" si="312"/>
        <v>0</v>
      </c>
      <c r="BO32" s="446">
        <f>IFERROR(HLOOKUP(HLOOKUP(BO$17,$V$18:$AE32,COUNTA($AK$18:$AK32),FALSE),Inputs!$B$58:$H$59,2,FALSE),0)</f>
        <v>0</v>
      </c>
      <c r="BP32" s="447">
        <f t="shared" ref="BP32" si="511">2*$AK32*BO32*$AL32/100*$AM32</f>
        <v>0</v>
      </c>
      <c r="BQ32" s="447">
        <f t="shared" si="314"/>
        <v>0</v>
      </c>
      <c r="BR32" s="54"/>
      <c r="BS32" s="103">
        <f t="shared" ca="1" si="224"/>
        <v>137.30388321273517</v>
      </c>
      <c r="BT32" s="103">
        <f t="shared" ca="1" si="396"/>
        <v>110.81587384909463</v>
      </c>
      <c r="BU32" s="103">
        <f t="shared" si="397"/>
        <v>232.06298842257598</v>
      </c>
      <c r="BV32" s="103">
        <f t="shared" si="398"/>
        <v>0</v>
      </c>
      <c r="BW32" s="152">
        <f t="shared" ca="1" si="399"/>
        <v>480.18274548440581</v>
      </c>
      <c r="BX32" s="441"/>
      <c r="BY32" s="94" t="s">
        <v>91</v>
      </c>
      <c r="BZ32" s="356">
        <f>$DH$9</f>
        <v>23</v>
      </c>
      <c r="CA32" s="95">
        <f>$DH$7</f>
        <v>1.87</v>
      </c>
      <c r="CB32" s="79">
        <f ca="1">$FF$10</f>
        <v>2262838.0122809126</v>
      </c>
      <c r="CC32" s="79">
        <f ca="1">$FF$9</f>
        <v>98384.261403517943</v>
      </c>
      <c r="CD32" s="54"/>
      <c r="CE32" s="94" t="s">
        <v>91</v>
      </c>
      <c r="CF32" s="356">
        <f>$DH$9</f>
        <v>23</v>
      </c>
      <c r="CG32" s="95">
        <f>$DH$7</f>
        <v>1.87</v>
      </c>
      <c r="CH32" s="79">
        <f ca="1">$FH$10</f>
        <v>1668326.1716524956</v>
      </c>
      <c r="CI32" s="79">
        <f ca="1">$FH$9</f>
        <v>72535.920506630238</v>
      </c>
      <c r="CJ32" s="54"/>
      <c r="CK32" s="94" t="s">
        <v>91</v>
      </c>
      <c r="CL32" s="356">
        <f>$DR$9</f>
        <v>48</v>
      </c>
      <c r="CM32" s="95">
        <f>$DR$7</f>
        <v>2.21</v>
      </c>
      <c r="CN32" s="79">
        <f>$FJ$10</f>
        <v>572803.90738060779</v>
      </c>
      <c r="CO32" s="79">
        <f>$FJ$9</f>
        <v>11933.414737095996</v>
      </c>
      <c r="CP32" s="54"/>
      <c r="CQ32" s="94" t="s">
        <v>91</v>
      </c>
      <c r="CR32" s="356">
        <f>$DH$9</f>
        <v>23</v>
      </c>
      <c r="CS32" s="95">
        <f>$DH$7</f>
        <v>1.87</v>
      </c>
      <c r="CT32" s="79">
        <f>$FL$10</f>
        <v>0</v>
      </c>
      <c r="CU32" s="79" t="str">
        <f>$FL$9</f>
        <v>--</v>
      </c>
      <c r="CV32" s="54"/>
      <c r="CW32" s="94" t="s">
        <v>91</v>
      </c>
      <c r="CX32" s="356">
        <f>$DH$9</f>
        <v>23</v>
      </c>
      <c r="CY32" s="95">
        <f>$DH$7</f>
        <v>1.87</v>
      </c>
      <c r="CZ32" s="79">
        <f ca="1">SUM(DetailedStructural[[#This Row],[Total Damages]],DetailedInternal[[#This Row],[Total Damages]],DetailedExternal[[#This Row],[Total Damages]],DetailedRiskToLife[[#This Row],[Total Damages]])</f>
        <v>4503968.0913140159</v>
      </c>
      <c r="DA32" s="79">
        <f ca="1">SUM(DetailedStructural[[#This Row],[AAD per Property]],DetailedInternal[[#This Row],[AAD per Property]],DetailedExternal[[#This Row],[AAD per Property]],DetailedRiskToLife[[#This Row],[AAD per Property]])</f>
        <v>182853.59664724418</v>
      </c>
      <c r="DB32" s="54"/>
      <c r="DC32" s="54"/>
      <c r="DD32" s="188">
        <f t="shared" si="315"/>
        <v>0.98999999999999932</v>
      </c>
      <c r="DE32" s="188">
        <f t="shared" si="316"/>
        <v>-2.0000000000000462E-2</v>
      </c>
      <c r="DF32" s="188">
        <f t="shared" si="317"/>
        <v>-0.3</v>
      </c>
      <c r="DG32" s="188">
        <f t="shared" si="318"/>
        <v>-0.3</v>
      </c>
      <c r="DH32" s="188">
        <f t="shared" si="319"/>
        <v>-0.3</v>
      </c>
      <c r="DI32" s="188">
        <f t="shared" si="320"/>
        <v>-0.3</v>
      </c>
      <c r="DJ32" s="188">
        <f t="shared" si="321"/>
        <v>-0.3</v>
      </c>
      <c r="DK32" s="188">
        <f t="shared" si="322"/>
        <v>-0.3</v>
      </c>
      <c r="DL32" s="188">
        <f t="shared" si="323"/>
        <v>-0.3</v>
      </c>
      <c r="DM32" s="188">
        <f t="shared" si="324"/>
        <v>-0.3</v>
      </c>
      <c r="DN32" s="189">
        <f t="shared" si="325"/>
        <v>2.0699999999999994</v>
      </c>
      <c r="DO32" s="189">
        <f t="shared" si="326"/>
        <v>1.0599999999999996</v>
      </c>
      <c r="DP32" s="189">
        <f t="shared" si="327"/>
        <v>0.75999999999999979</v>
      </c>
      <c r="DQ32" s="189">
        <f t="shared" si="328"/>
        <v>0.45999999999999996</v>
      </c>
      <c r="DR32" s="189">
        <f t="shared" si="329"/>
        <v>0</v>
      </c>
      <c r="DS32" s="189">
        <f t="shared" si="330"/>
        <v>0</v>
      </c>
      <c r="DT32" s="189">
        <f t="shared" si="331"/>
        <v>0</v>
      </c>
      <c r="DU32" s="189">
        <f t="shared" si="332"/>
        <v>0</v>
      </c>
      <c r="DV32" s="189">
        <f t="shared" si="333"/>
        <v>0</v>
      </c>
      <c r="DW32" s="189">
        <f t="shared" si="334"/>
        <v>0</v>
      </c>
      <c r="DX32" s="54"/>
      <c r="DY32" s="54"/>
      <c r="DZ32" s="199">
        <f t="shared" ca="1" si="237"/>
        <v>119205.13748191028</v>
      </c>
      <c r="EA32" s="200">
        <f t="shared" si="335"/>
        <v>1</v>
      </c>
      <c r="EB32" s="201">
        <f t="shared" ca="1" si="238"/>
        <v>111372.73753677853</v>
      </c>
      <c r="EC32" s="200">
        <f t="shared" si="336"/>
        <v>1</v>
      </c>
      <c r="ED32" s="201" cm="1">
        <f t="array" ref="ED32">IF(LEFT($AG32,3)="Res",IF(OR($DN32&gt;External_Threshold,$DD32&gt;0),1*Uplift*AWE*(External),0),0)</f>
        <v>15481.186685962373</v>
      </c>
      <c r="EE32" s="200">
        <f t="shared" si="337"/>
        <v>1</v>
      </c>
      <c r="EF32" s="201">
        <f t="shared" si="239"/>
        <v>0</v>
      </c>
      <c r="EG32" s="203">
        <f t="shared" si="338"/>
        <v>0</v>
      </c>
      <c r="EH32" s="199">
        <f t="shared" ca="1" si="240"/>
        <v>7492.8943560057887</v>
      </c>
      <c r="EI32" s="200">
        <f t="shared" si="241"/>
        <v>0</v>
      </c>
      <c r="EJ32" s="201">
        <f t="shared" ca="1" si="242"/>
        <v>0</v>
      </c>
      <c r="EK32" s="200">
        <f t="shared" si="243"/>
        <v>0</v>
      </c>
      <c r="EL32" s="201" cm="1">
        <f t="array" ref="EL32">IF(LEFT($AG32,3)="Res",IF(OR($DO32&gt;External_Threshold,$DE32&gt;0),1*Uplift*AWE*(External),0),0)</f>
        <v>15481.186685962373</v>
      </c>
      <c r="EM32" s="200">
        <f t="shared" si="244"/>
        <v>1</v>
      </c>
      <c r="EN32" s="201">
        <f t="shared" si="245"/>
        <v>0</v>
      </c>
      <c r="EO32" s="203">
        <f t="shared" si="339"/>
        <v>0</v>
      </c>
      <c r="EP32" s="199">
        <f t="shared" ca="1" si="246"/>
        <v>0</v>
      </c>
      <c r="EQ32" s="200">
        <f t="shared" si="247"/>
        <v>0</v>
      </c>
      <c r="ER32" s="201">
        <f t="shared" ca="1" si="248"/>
        <v>0</v>
      </c>
      <c r="ES32" s="200">
        <f t="shared" si="249"/>
        <v>0</v>
      </c>
      <c r="ET32" s="201" cm="1">
        <f t="array" ref="ET32">IF(LEFT($AG32,3)="Res",IF(OR($DP32&gt;External_Threshold,$DF32&gt;0),1*Uplift*AWE*(External),0),0)</f>
        <v>15481.186685962373</v>
      </c>
      <c r="EU32" s="200">
        <f t="shared" si="250"/>
        <v>1</v>
      </c>
      <c r="EV32" s="201">
        <f t="shared" si="251"/>
        <v>0</v>
      </c>
      <c r="EW32" s="203">
        <f t="shared" si="340"/>
        <v>0</v>
      </c>
      <c r="EX32" s="199">
        <f t="shared" ca="1" si="252"/>
        <v>0</v>
      </c>
      <c r="EY32" s="200">
        <f t="shared" si="253"/>
        <v>0</v>
      </c>
      <c r="EZ32" s="201">
        <f t="shared" ca="1" si="254"/>
        <v>0</v>
      </c>
      <c r="FA32" s="200">
        <f t="shared" si="255"/>
        <v>0</v>
      </c>
      <c r="FB32" s="201" cm="1">
        <f t="array" ref="FB32">IF(LEFT($AG32,3)="Res",IF(OR($DQ32&gt;External_Threshold,$DG32&gt;0),1*Uplift*AWE*(External),0),0)</f>
        <v>15481.186685962373</v>
      </c>
      <c r="FC32" s="200">
        <f t="shared" si="256"/>
        <v>1</v>
      </c>
      <c r="FD32" s="201">
        <f t="shared" si="257"/>
        <v>0</v>
      </c>
      <c r="FE32" s="203">
        <f t="shared" si="341"/>
        <v>0</v>
      </c>
      <c r="FF32" s="199">
        <f t="shared" ca="1" si="258"/>
        <v>0</v>
      </c>
      <c r="FG32" s="200">
        <f t="shared" si="259"/>
        <v>0</v>
      </c>
      <c r="FH32" s="201">
        <f t="shared" ca="1" si="260"/>
        <v>0</v>
      </c>
      <c r="FI32" s="200">
        <f t="shared" si="261"/>
        <v>0</v>
      </c>
      <c r="FJ32" s="201" cm="1">
        <f t="array" ref="FJ32">IF(LEFT($AG32,3)="Res",IF(OR($DR32&gt;External_Threshold,$DH32&gt;0),1*Uplift*AWE*(External),0),0)</f>
        <v>0</v>
      </c>
      <c r="FK32" s="200">
        <f t="shared" si="262"/>
        <v>0</v>
      </c>
      <c r="FL32" s="201">
        <f t="shared" si="263"/>
        <v>0</v>
      </c>
      <c r="FM32" s="203">
        <f t="shared" si="342"/>
        <v>0</v>
      </c>
      <c r="FN32" s="199">
        <f t="shared" ca="1" si="264"/>
        <v>0</v>
      </c>
      <c r="FO32" s="200">
        <f t="shared" si="265"/>
        <v>0</v>
      </c>
      <c r="FP32" s="201">
        <f t="shared" ca="1" si="266"/>
        <v>0</v>
      </c>
      <c r="FQ32" s="200">
        <f t="shared" si="267"/>
        <v>0</v>
      </c>
      <c r="FR32" s="201" cm="1">
        <f t="array" ref="FR32">IF(LEFT($AG32,3)="Res",IF(OR($DS32&gt;External_Threshold,$DI32&gt;0),1*Uplift*AWE*(External),0),0)</f>
        <v>0</v>
      </c>
      <c r="FS32" s="200">
        <f t="shared" si="268"/>
        <v>0</v>
      </c>
      <c r="FT32" s="201">
        <f t="shared" si="269"/>
        <v>0</v>
      </c>
      <c r="FU32" s="203">
        <f t="shared" si="343"/>
        <v>0</v>
      </c>
      <c r="FV32" s="199">
        <f t="shared" ca="1" si="270"/>
        <v>0</v>
      </c>
      <c r="FW32" s="200">
        <f t="shared" si="271"/>
        <v>0</v>
      </c>
      <c r="FX32" s="201">
        <f t="shared" ca="1" si="272"/>
        <v>0</v>
      </c>
      <c r="FY32" s="200">
        <f t="shared" si="273"/>
        <v>0</v>
      </c>
      <c r="FZ32" s="201" cm="1">
        <f t="array" ref="FZ32">IF(LEFT($AG32,3)="Res",IF(OR($DT32&gt;External_Threshold,$DJ32&gt;0),1*Uplift*AWE*(External),0),0)</f>
        <v>0</v>
      </c>
      <c r="GA32" s="200">
        <f t="shared" si="274"/>
        <v>0</v>
      </c>
      <c r="GB32" s="201">
        <f t="shared" si="275"/>
        <v>0</v>
      </c>
      <c r="GC32" s="203">
        <f t="shared" si="344"/>
        <v>0</v>
      </c>
      <c r="GD32" s="199">
        <f t="shared" ca="1" si="276"/>
        <v>0</v>
      </c>
      <c r="GE32" s="200">
        <f t="shared" si="277"/>
        <v>0</v>
      </c>
      <c r="GF32" s="201">
        <f t="shared" ca="1" si="278"/>
        <v>0</v>
      </c>
      <c r="GG32" s="200">
        <f t="shared" si="279"/>
        <v>0</v>
      </c>
      <c r="GH32" s="201" cm="1">
        <f t="array" ref="GH32">IF(LEFT($AG32,3)="Res",IF(OR($DU32&gt;External_Threshold,$DK32&gt;0),1*Uplift*AWE*(External),0),0)</f>
        <v>0</v>
      </c>
      <c r="GI32" s="200">
        <f t="shared" si="280"/>
        <v>0</v>
      </c>
      <c r="GJ32" s="201">
        <f t="shared" si="281"/>
        <v>0</v>
      </c>
      <c r="GK32" s="203">
        <f t="shared" si="345"/>
        <v>0</v>
      </c>
      <c r="GL32" s="199">
        <f t="shared" ca="1" si="282"/>
        <v>0</v>
      </c>
      <c r="GM32" s="200">
        <f t="shared" si="283"/>
        <v>0</v>
      </c>
      <c r="GN32" s="201">
        <f t="shared" ca="1" si="284"/>
        <v>0</v>
      </c>
      <c r="GO32" s="200">
        <f t="shared" si="285"/>
        <v>0</v>
      </c>
      <c r="GP32" s="201" cm="1">
        <f t="array" ref="GP32">IF(LEFT($AG32,3)="Res",IF(OR($DV32&gt;External_Threshold,$DL32&gt;0),1*Uplift*AWE*(External),0),0)</f>
        <v>0</v>
      </c>
      <c r="GQ32" s="200">
        <f t="shared" si="286"/>
        <v>0</v>
      </c>
      <c r="GR32" s="201">
        <f t="shared" si="287"/>
        <v>0</v>
      </c>
      <c r="GS32" s="203">
        <f t="shared" si="346"/>
        <v>0</v>
      </c>
      <c r="GT32" s="199">
        <f t="shared" ca="1" si="288"/>
        <v>0</v>
      </c>
      <c r="GU32" s="200">
        <f t="shared" si="289"/>
        <v>0</v>
      </c>
      <c r="GV32" s="201">
        <f t="shared" ca="1" si="290"/>
        <v>0</v>
      </c>
      <c r="GW32" s="200">
        <f t="shared" si="291"/>
        <v>0</v>
      </c>
      <c r="GX32" s="201" cm="1">
        <f t="array" ref="GX32">IF(LEFT($AG32,3)="Res",IF(OR($DW32&gt;External_Threshold,$DM32&gt;0),1*Uplift*AWE*(External),0),0)</f>
        <v>0</v>
      </c>
      <c r="GY32" s="200">
        <f t="shared" si="292"/>
        <v>0</v>
      </c>
      <c r="GZ32" s="201">
        <f t="shared" si="293"/>
        <v>0</v>
      </c>
      <c r="HA32" s="203">
        <f t="shared" si="347"/>
        <v>0</v>
      </c>
      <c r="HB32" s="54"/>
      <c r="HC32" s="54"/>
      <c r="HD32" s="54"/>
      <c r="HE32" s="54"/>
      <c r="HF32" s="54"/>
      <c r="HG32" s="201">
        <f t="shared" ca="1" si="348"/>
        <v>246059.06170465116</v>
      </c>
      <c r="HH32" s="201">
        <f t="shared" ca="1" si="349"/>
        <v>22974.081041968162</v>
      </c>
      <c r="HI32" s="201">
        <f t="shared" ca="1" si="350"/>
        <v>15481.186685962373</v>
      </c>
      <c r="HJ32" s="201">
        <f t="shared" ca="1" si="351"/>
        <v>15481.186685962373</v>
      </c>
      <c r="HK32" s="201">
        <f t="shared" ca="1" si="352"/>
        <v>0</v>
      </c>
      <c r="HL32" s="201">
        <f t="shared" ca="1" si="353"/>
        <v>0</v>
      </c>
      <c r="HM32" s="201">
        <f t="shared" ca="1" si="354"/>
        <v>0</v>
      </c>
      <c r="HN32" s="201">
        <f t="shared" ca="1" si="355"/>
        <v>0</v>
      </c>
      <c r="HO32" s="201">
        <f t="shared" ca="1" si="356"/>
        <v>0</v>
      </c>
      <c r="HP32" s="201">
        <f t="shared" ca="1" si="357"/>
        <v>0</v>
      </c>
      <c r="HQ32" s="54"/>
    </row>
    <row r="33" spans="1:225" x14ac:dyDescent="0.3">
      <c r="A33" s="513">
        <v>15</v>
      </c>
      <c r="B33" s="514" t="s">
        <v>438</v>
      </c>
      <c r="C33" s="514" t="s">
        <v>390</v>
      </c>
      <c r="D33" s="514" t="s">
        <v>390</v>
      </c>
      <c r="E33" s="513">
        <v>1</v>
      </c>
      <c r="F33" s="515">
        <v>6.44</v>
      </c>
      <c r="G33" s="515">
        <v>5.53</v>
      </c>
      <c r="H33" s="513">
        <v>1</v>
      </c>
      <c r="I33" s="517">
        <v>1</v>
      </c>
      <c r="J33" s="518" t="s">
        <v>137</v>
      </c>
      <c r="K33" s="513">
        <f t="shared" si="204"/>
        <v>160</v>
      </c>
      <c r="L33" s="519">
        <v>7.56</v>
      </c>
      <c r="M33" s="519">
        <v>6.55</v>
      </c>
      <c r="N33" s="519">
        <v>6.25</v>
      </c>
      <c r="O33" s="519">
        <v>5.95</v>
      </c>
      <c r="P33" s="519">
        <v>5.47</v>
      </c>
      <c r="Q33" s="519">
        <v>5</v>
      </c>
      <c r="R33" s="519">
        <v>4.2</v>
      </c>
      <c r="S33" s="519">
        <v>0</v>
      </c>
      <c r="T33" s="519">
        <v>0</v>
      </c>
      <c r="U33" s="519">
        <v>0</v>
      </c>
      <c r="V33" s="536"/>
      <c r="W33" s="536"/>
      <c r="X33" s="536"/>
      <c r="Y33" s="536"/>
      <c r="Z33" s="536"/>
      <c r="AA33" s="536"/>
      <c r="AB33" s="536"/>
      <c r="AC33" s="536"/>
      <c r="AD33" s="536"/>
      <c r="AE33" s="536"/>
      <c r="AF33" s="54"/>
      <c r="AG33" s="204" t="str">
        <f t="shared" si="465"/>
        <v>Res1</v>
      </c>
      <c r="AH33" s="204">
        <f t="shared" si="294"/>
        <v>7</v>
      </c>
      <c r="AI33" s="204">
        <f t="shared" si="205"/>
        <v>1</v>
      </c>
      <c r="AJ33" s="54"/>
      <c r="AK33" s="74">
        <f>IFERROR(IF(H33&gt;4,0,AI33*Inputs!$C$55),0)</f>
        <v>2.6</v>
      </c>
      <c r="AL33" s="81">
        <f>IFERROR(Inputs!$C$73,0)</f>
        <v>5</v>
      </c>
      <c r="AM33" s="211">
        <f>IFERROR(Inputs!$C$74,0)</f>
        <v>0.24299999999999999</v>
      </c>
      <c r="AN33" s="446">
        <f>IFERROR(HLOOKUP(HLOOKUP(AN$17,$V$18:$AE33,COUNTA($AK$18:$AK33),FALSE),Inputs!$B$58:$H$59,2,FALSE),0)</f>
        <v>0</v>
      </c>
      <c r="AO33" s="447">
        <f t="shared" si="295"/>
        <v>0</v>
      </c>
      <c r="AP33" s="447">
        <f t="shared" si="296"/>
        <v>0</v>
      </c>
      <c r="AQ33" s="446">
        <f>IFERROR(HLOOKUP(HLOOKUP(AQ$17,$V$18:$AE33,COUNTA($AK$18:$AK33),FALSE),Inputs!$B$58:$H$59,2,FALSE),0)</f>
        <v>0</v>
      </c>
      <c r="AR33" s="447">
        <f t="shared" ref="AR33" si="512">2*$AK33*AQ33*$AL33/100*$AM33</f>
        <v>0</v>
      </c>
      <c r="AS33" s="447">
        <f t="shared" si="298"/>
        <v>0</v>
      </c>
      <c r="AT33" s="446">
        <f>IFERROR(HLOOKUP(HLOOKUP(AT$17,$V$18:$AE33,COUNTA($AK$18:$AK33),FALSE),Inputs!$B$58:$H$59,2,FALSE),0)</f>
        <v>0</v>
      </c>
      <c r="AU33" s="447">
        <f t="shared" ref="AU33" si="513">2*$AK33*AT33*$AL33/100*$AM33</f>
        <v>0</v>
      </c>
      <c r="AV33" s="447">
        <f t="shared" si="300"/>
        <v>0</v>
      </c>
      <c r="AW33" s="446">
        <f>IFERROR(HLOOKUP(HLOOKUP(AW$17,$V$18:$AE33,COUNTA($AK$18:$AK33),FALSE),Inputs!$B$58:$H$59,2,FALSE),0)</f>
        <v>0</v>
      </c>
      <c r="AX33" s="447">
        <f t="shared" ref="AX33" si="514">2*$AK33*AW33*$AL33/100*$AM33</f>
        <v>0</v>
      </c>
      <c r="AY33" s="447">
        <f t="shared" si="302"/>
        <v>0</v>
      </c>
      <c r="AZ33" s="446">
        <f>IFERROR(HLOOKUP(HLOOKUP(AZ$17,$V$18:$AE33,COUNTA($AK$18:$AK33),FALSE),Inputs!$B$58:$H$59,2,FALSE),0)</f>
        <v>0</v>
      </c>
      <c r="BA33" s="447">
        <f t="shared" ref="BA33" si="515">2*$AK33*AZ33*$AL33/100*$AM33</f>
        <v>0</v>
      </c>
      <c r="BB33" s="447">
        <f t="shared" si="304"/>
        <v>0</v>
      </c>
      <c r="BC33" s="446">
        <f>IFERROR(HLOOKUP(HLOOKUP(BC$17,$V$18:$AE33,COUNTA($AK$18:$AK33),FALSE),Inputs!$B$58:$H$59,2,FALSE),0)</f>
        <v>0</v>
      </c>
      <c r="BD33" s="447">
        <f t="shared" ref="BD33" si="516">2*$AK33*BC33*$AL33/100*$AM33</f>
        <v>0</v>
      </c>
      <c r="BE33" s="447">
        <f t="shared" si="306"/>
        <v>0</v>
      </c>
      <c r="BF33" s="446">
        <f>IFERROR(HLOOKUP(HLOOKUP(BF$17,$V$18:$AE33,COUNTA($AK$18:$AK33),FALSE),Inputs!$B$58:$H$59,2,FALSE),0)</f>
        <v>0</v>
      </c>
      <c r="BG33" s="447">
        <f t="shared" ref="BG33" si="517">2*$AK33*BF33*$AL33/100*$AM33</f>
        <v>0</v>
      </c>
      <c r="BH33" s="447">
        <f t="shared" si="308"/>
        <v>0</v>
      </c>
      <c r="BI33" s="446">
        <f>IFERROR(HLOOKUP(HLOOKUP(BI$17,$V$18:$AE33,COUNTA($AK$18:$AK33),FALSE),Inputs!$B$58:$H$59,2,FALSE),0)</f>
        <v>0</v>
      </c>
      <c r="BJ33" s="447">
        <f t="shared" ref="BJ33" si="518">2*$AK33*BI33*$AL33/100*$AM33</f>
        <v>0</v>
      </c>
      <c r="BK33" s="447">
        <f t="shared" si="310"/>
        <v>0</v>
      </c>
      <c r="BL33" s="446">
        <f>IFERROR(HLOOKUP(HLOOKUP(BL$17,$V$18:$AE33,COUNTA($AK$18:$AK33),FALSE),Inputs!$B$58:$H$59,2,FALSE),0)</f>
        <v>0</v>
      </c>
      <c r="BM33" s="447">
        <f t="shared" ref="BM33" si="519">2*$AK33*BL33*$AL33/100*$AM33</f>
        <v>0</v>
      </c>
      <c r="BN33" s="447">
        <f t="shared" si="312"/>
        <v>0</v>
      </c>
      <c r="BO33" s="446">
        <f>IFERROR(HLOOKUP(HLOOKUP(BO$17,$V$18:$AE33,COUNTA($AK$18:$AK33),FALSE),Inputs!$B$58:$H$59,2,FALSE),0)</f>
        <v>0</v>
      </c>
      <c r="BP33" s="447">
        <f t="shared" ref="BP33" si="520">2*$AK33*BO33*$AL33/100*$AM33</f>
        <v>0</v>
      </c>
      <c r="BQ33" s="447">
        <f t="shared" si="314"/>
        <v>0</v>
      </c>
      <c r="BR33" s="54"/>
      <c r="BS33" s="103">
        <f t="shared" ca="1" si="224"/>
        <v>350.0355551037145</v>
      </c>
      <c r="BT33" s="103">
        <f t="shared" ca="1" si="396"/>
        <v>168.47953339210736</v>
      </c>
      <c r="BU33" s="103">
        <f t="shared" si="397"/>
        <v>232.06298842257598</v>
      </c>
      <c r="BV33" s="103">
        <f t="shared" si="398"/>
        <v>0</v>
      </c>
      <c r="BW33" s="152">
        <f t="shared" ca="1" si="399"/>
        <v>750.57807691839776</v>
      </c>
      <c r="BX33" s="441"/>
      <c r="BY33" s="94" t="s">
        <v>92</v>
      </c>
      <c r="BZ33" s="356">
        <f>$DH$10</f>
        <v>4</v>
      </c>
      <c r="CA33" s="95">
        <f>$DH$8</f>
        <v>0.67999999999999972</v>
      </c>
      <c r="CB33" s="79">
        <f ca="1">$FF$12</f>
        <v>674678.35183603759</v>
      </c>
      <c r="CC33" s="79">
        <f ca="1">$FF$11</f>
        <v>168669.5879590094</v>
      </c>
      <c r="CD33" s="54"/>
      <c r="CE33" s="94" t="s">
        <v>92</v>
      </c>
      <c r="CF33" s="356">
        <f>$DH$10</f>
        <v>4</v>
      </c>
      <c r="CG33" s="95">
        <f>$DH$8</f>
        <v>0.67999999999999972</v>
      </c>
      <c r="CH33" s="79">
        <f ca="1">$FH$12</f>
        <v>0</v>
      </c>
      <c r="CI33" s="79">
        <f ca="1">$FH$11</f>
        <v>0</v>
      </c>
      <c r="CJ33" s="54"/>
      <c r="CK33" s="94" t="s">
        <v>92</v>
      </c>
      <c r="CL33" s="356">
        <f>$DR$10</f>
        <v>6</v>
      </c>
      <c r="CM33" s="95">
        <f>$DR$8</f>
        <v>2.37</v>
      </c>
      <c r="CN33" s="79">
        <f>$FJ$12</f>
        <v>0</v>
      </c>
      <c r="CO33" s="79">
        <f>$FJ$11</f>
        <v>0</v>
      </c>
      <c r="CP33" s="54"/>
      <c r="CQ33" s="94" t="s">
        <v>92</v>
      </c>
      <c r="CR33" s="356">
        <f>$DH$10</f>
        <v>4</v>
      </c>
      <c r="CS33" s="95">
        <f>$DH$8</f>
        <v>0.67999999999999972</v>
      </c>
      <c r="CT33" s="79">
        <f>$FL$12</f>
        <v>0</v>
      </c>
      <c r="CU33" s="79" t="str">
        <f>$FL$11</f>
        <v>--</v>
      </c>
      <c r="CV33" s="54"/>
      <c r="CW33" s="94" t="s">
        <v>92</v>
      </c>
      <c r="CX33" s="356">
        <f>$DH$10</f>
        <v>4</v>
      </c>
      <c r="CY33" s="95">
        <f>$DH$8</f>
        <v>0.67999999999999972</v>
      </c>
      <c r="CZ33" s="79">
        <f ca="1">SUM(DetailedStructural[[#This Row],[Total Damages]],DetailedInternal[[#This Row],[Total Damages]],DetailedExternal[[#This Row],[Total Damages]],DetailedRiskToLife[[#This Row],[Total Damages]])</f>
        <v>674678.35183603759</v>
      </c>
      <c r="DA33" s="79">
        <f ca="1">SUM(DetailedStructural[[#This Row],[AAD per Property]],DetailedInternal[[#This Row],[AAD per Property]],DetailedExternal[[#This Row],[AAD per Property]],DetailedRiskToLife[[#This Row],[AAD per Property]])</f>
        <v>168669.5879590094</v>
      </c>
      <c r="DB33" s="54"/>
      <c r="DC33" s="54"/>
      <c r="DD33" s="188">
        <f t="shared" si="315"/>
        <v>1.1199999999999992</v>
      </c>
      <c r="DE33" s="188">
        <f t="shared" si="316"/>
        <v>0.10999999999999943</v>
      </c>
      <c r="DF33" s="188">
        <f t="shared" si="317"/>
        <v>-0.19000000000000039</v>
      </c>
      <c r="DG33" s="188">
        <f t="shared" si="318"/>
        <v>-0.3</v>
      </c>
      <c r="DH33" s="188">
        <f t="shared" si="319"/>
        <v>-0.3</v>
      </c>
      <c r="DI33" s="188">
        <f t="shared" si="320"/>
        <v>-0.3</v>
      </c>
      <c r="DJ33" s="188">
        <f t="shared" si="321"/>
        <v>-0.3</v>
      </c>
      <c r="DK33" s="188">
        <f t="shared" si="322"/>
        <v>-0.3</v>
      </c>
      <c r="DL33" s="188">
        <f t="shared" si="323"/>
        <v>-0.3</v>
      </c>
      <c r="DM33" s="188">
        <f t="shared" si="324"/>
        <v>-0.3</v>
      </c>
      <c r="DN33" s="189">
        <f t="shared" si="325"/>
        <v>2.0299999999999994</v>
      </c>
      <c r="DO33" s="189">
        <f t="shared" si="326"/>
        <v>1.0199999999999996</v>
      </c>
      <c r="DP33" s="189">
        <f t="shared" si="327"/>
        <v>0.71999999999999975</v>
      </c>
      <c r="DQ33" s="189">
        <f t="shared" si="328"/>
        <v>0.41999999999999993</v>
      </c>
      <c r="DR33" s="189">
        <f t="shared" si="329"/>
        <v>0</v>
      </c>
      <c r="DS33" s="189">
        <f t="shared" si="330"/>
        <v>0</v>
      </c>
      <c r="DT33" s="189">
        <f t="shared" si="331"/>
        <v>0</v>
      </c>
      <c r="DU33" s="189">
        <f t="shared" si="332"/>
        <v>0</v>
      </c>
      <c r="DV33" s="189">
        <f t="shared" si="333"/>
        <v>0</v>
      </c>
      <c r="DW33" s="189">
        <f t="shared" si="334"/>
        <v>0</v>
      </c>
      <c r="DX33" s="54"/>
      <c r="DY33" s="54"/>
      <c r="DZ33" s="199">
        <f t="shared" ca="1" si="237"/>
        <v>114516.40207428849</v>
      </c>
      <c r="EA33" s="200">
        <f t="shared" si="335"/>
        <v>1</v>
      </c>
      <c r="EB33" s="201">
        <f t="shared" ca="1" si="238"/>
        <v>105116.59688951455</v>
      </c>
      <c r="EC33" s="200">
        <f t="shared" si="336"/>
        <v>1</v>
      </c>
      <c r="ED33" s="201" cm="1">
        <f t="array" ref="ED33">IF(LEFT($AG33,3)="Res",IF(OR($DN33&gt;External_Threshold,$DD33&gt;0),1*Uplift*AWE*(External),0),0)</f>
        <v>15481.186685962373</v>
      </c>
      <c r="EE33" s="200">
        <f t="shared" si="337"/>
        <v>1</v>
      </c>
      <c r="EF33" s="201">
        <f t="shared" si="239"/>
        <v>0</v>
      </c>
      <c r="EG33" s="203">
        <f t="shared" si="338"/>
        <v>0</v>
      </c>
      <c r="EH33" s="199">
        <f t="shared" ca="1" si="240"/>
        <v>90955.412043736942</v>
      </c>
      <c r="EI33" s="200">
        <f t="shared" si="241"/>
        <v>1</v>
      </c>
      <c r="EJ33" s="201">
        <f t="shared" ca="1" si="242"/>
        <v>25606.621036889934</v>
      </c>
      <c r="EK33" s="200">
        <f t="shared" si="243"/>
        <v>1</v>
      </c>
      <c r="EL33" s="201" cm="1">
        <f t="array" ref="EL33">IF(LEFT($AG33,3)="Res",IF(OR($DO33&gt;External_Threshold,$DE33&gt;0),1*Uplift*AWE*(External),0),0)</f>
        <v>15481.186685962373</v>
      </c>
      <c r="EM33" s="200">
        <f t="shared" si="244"/>
        <v>1</v>
      </c>
      <c r="EN33" s="201">
        <f t="shared" si="245"/>
        <v>0</v>
      </c>
      <c r="EO33" s="203">
        <f t="shared" si="339"/>
        <v>0</v>
      </c>
      <c r="EP33" s="199">
        <f t="shared" ca="1" si="246"/>
        <v>2289.4954976684348</v>
      </c>
      <c r="EQ33" s="200">
        <f t="shared" si="247"/>
        <v>0</v>
      </c>
      <c r="ER33" s="201">
        <f t="shared" ca="1" si="248"/>
        <v>0</v>
      </c>
      <c r="ES33" s="200">
        <f t="shared" si="249"/>
        <v>0</v>
      </c>
      <c r="ET33" s="201" cm="1">
        <f t="array" ref="ET33">IF(LEFT($AG33,3)="Res",IF(OR($DP33&gt;External_Threshold,$DF33&gt;0),1*Uplift*AWE*(External),0),0)</f>
        <v>15481.186685962373</v>
      </c>
      <c r="EU33" s="200">
        <f t="shared" si="250"/>
        <v>1</v>
      </c>
      <c r="EV33" s="201">
        <f t="shared" si="251"/>
        <v>0</v>
      </c>
      <c r="EW33" s="203">
        <f t="shared" si="340"/>
        <v>0</v>
      </c>
      <c r="EX33" s="199">
        <f t="shared" ca="1" si="252"/>
        <v>0</v>
      </c>
      <c r="EY33" s="200">
        <f t="shared" si="253"/>
        <v>0</v>
      </c>
      <c r="EZ33" s="201">
        <f t="shared" ca="1" si="254"/>
        <v>0</v>
      </c>
      <c r="FA33" s="200">
        <f t="shared" si="255"/>
        <v>0</v>
      </c>
      <c r="FB33" s="201" cm="1">
        <f t="array" ref="FB33">IF(LEFT($AG33,3)="Res",IF(OR($DQ33&gt;External_Threshold,$DG33&gt;0),1*Uplift*AWE*(External),0),0)</f>
        <v>15481.186685962373</v>
      </c>
      <c r="FC33" s="200">
        <f t="shared" si="256"/>
        <v>1</v>
      </c>
      <c r="FD33" s="201">
        <f t="shared" si="257"/>
        <v>0</v>
      </c>
      <c r="FE33" s="203">
        <f t="shared" si="341"/>
        <v>0</v>
      </c>
      <c r="FF33" s="199">
        <f t="shared" ca="1" si="258"/>
        <v>0</v>
      </c>
      <c r="FG33" s="200">
        <f t="shared" si="259"/>
        <v>0</v>
      </c>
      <c r="FH33" s="201">
        <f t="shared" ca="1" si="260"/>
        <v>0</v>
      </c>
      <c r="FI33" s="200">
        <f t="shared" si="261"/>
        <v>0</v>
      </c>
      <c r="FJ33" s="201" cm="1">
        <f t="array" ref="FJ33">IF(LEFT($AG33,3)="Res",IF(OR($DR33&gt;External_Threshold,$DH33&gt;0),1*Uplift*AWE*(External),0),0)</f>
        <v>0</v>
      </c>
      <c r="FK33" s="200">
        <f t="shared" si="262"/>
        <v>0</v>
      </c>
      <c r="FL33" s="201">
        <f t="shared" si="263"/>
        <v>0</v>
      </c>
      <c r="FM33" s="203">
        <f t="shared" si="342"/>
        <v>0</v>
      </c>
      <c r="FN33" s="199">
        <f t="shared" ca="1" si="264"/>
        <v>0</v>
      </c>
      <c r="FO33" s="200">
        <f t="shared" si="265"/>
        <v>0</v>
      </c>
      <c r="FP33" s="201">
        <f t="shared" ca="1" si="266"/>
        <v>0</v>
      </c>
      <c r="FQ33" s="200">
        <f t="shared" si="267"/>
        <v>0</v>
      </c>
      <c r="FR33" s="201" cm="1">
        <f t="array" ref="FR33">IF(LEFT($AG33,3)="Res",IF(OR($DS33&gt;External_Threshold,$DI33&gt;0),1*Uplift*AWE*(External),0),0)</f>
        <v>0</v>
      </c>
      <c r="FS33" s="200">
        <f t="shared" si="268"/>
        <v>0</v>
      </c>
      <c r="FT33" s="201">
        <f t="shared" si="269"/>
        <v>0</v>
      </c>
      <c r="FU33" s="203">
        <f t="shared" si="343"/>
        <v>0</v>
      </c>
      <c r="FV33" s="199">
        <f t="shared" ca="1" si="270"/>
        <v>0</v>
      </c>
      <c r="FW33" s="200">
        <f t="shared" si="271"/>
        <v>0</v>
      </c>
      <c r="FX33" s="201">
        <f t="shared" ca="1" si="272"/>
        <v>0</v>
      </c>
      <c r="FY33" s="200">
        <f t="shared" si="273"/>
        <v>0</v>
      </c>
      <c r="FZ33" s="201" cm="1">
        <f t="array" ref="FZ33">IF(LEFT($AG33,3)="Res",IF(OR($DT33&gt;External_Threshold,$DJ33&gt;0),1*Uplift*AWE*(External),0),0)</f>
        <v>0</v>
      </c>
      <c r="GA33" s="200">
        <f t="shared" si="274"/>
        <v>0</v>
      </c>
      <c r="GB33" s="201">
        <f t="shared" si="275"/>
        <v>0</v>
      </c>
      <c r="GC33" s="203">
        <f t="shared" si="344"/>
        <v>0</v>
      </c>
      <c r="GD33" s="199">
        <f t="shared" ca="1" si="276"/>
        <v>0</v>
      </c>
      <c r="GE33" s="200">
        <f t="shared" si="277"/>
        <v>0</v>
      </c>
      <c r="GF33" s="201">
        <f t="shared" ca="1" si="278"/>
        <v>0</v>
      </c>
      <c r="GG33" s="200">
        <f t="shared" si="279"/>
        <v>0</v>
      </c>
      <c r="GH33" s="201" cm="1">
        <f t="array" ref="GH33">IF(LEFT($AG33,3)="Res",IF(OR($DU33&gt;External_Threshold,$DK33&gt;0),1*Uplift*AWE*(External),0),0)</f>
        <v>0</v>
      </c>
      <c r="GI33" s="200">
        <f t="shared" si="280"/>
        <v>0</v>
      </c>
      <c r="GJ33" s="201">
        <f t="shared" si="281"/>
        <v>0</v>
      </c>
      <c r="GK33" s="203">
        <f t="shared" si="345"/>
        <v>0</v>
      </c>
      <c r="GL33" s="199">
        <f t="shared" ca="1" si="282"/>
        <v>0</v>
      </c>
      <c r="GM33" s="200">
        <f t="shared" si="283"/>
        <v>0</v>
      </c>
      <c r="GN33" s="201">
        <f t="shared" ca="1" si="284"/>
        <v>0</v>
      </c>
      <c r="GO33" s="200">
        <f t="shared" si="285"/>
        <v>0</v>
      </c>
      <c r="GP33" s="201" cm="1">
        <f t="array" ref="GP33">IF(LEFT($AG33,3)="Res",IF(OR($DV33&gt;External_Threshold,$DL33&gt;0),1*Uplift*AWE*(External),0),0)</f>
        <v>0</v>
      </c>
      <c r="GQ33" s="200">
        <f t="shared" si="286"/>
        <v>0</v>
      </c>
      <c r="GR33" s="201">
        <f t="shared" si="287"/>
        <v>0</v>
      </c>
      <c r="GS33" s="203">
        <f t="shared" si="346"/>
        <v>0</v>
      </c>
      <c r="GT33" s="199">
        <f t="shared" ca="1" si="288"/>
        <v>0</v>
      </c>
      <c r="GU33" s="200">
        <f t="shared" si="289"/>
        <v>0</v>
      </c>
      <c r="GV33" s="201">
        <f t="shared" ca="1" si="290"/>
        <v>0</v>
      </c>
      <c r="GW33" s="200">
        <f t="shared" si="291"/>
        <v>0</v>
      </c>
      <c r="GX33" s="201" cm="1">
        <f t="array" ref="GX33">IF(LEFT($AG33,3)="Res",IF(OR($DW33&gt;External_Threshold,$DM33&gt;0),1*Uplift*AWE*(External),0),0)</f>
        <v>0</v>
      </c>
      <c r="GY33" s="200">
        <f t="shared" si="292"/>
        <v>0</v>
      </c>
      <c r="GZ33" s="201">
        <f t="shared" si="293"/>
        <v>0</v>
      </c>
      <c r="HA33" s="203">
        <f t="shared" si="347"/>
        <v>0</v>
      </c>
      <c r="HB33" s="54"/>
      <c r="HC33" s="54"/>
      <c r="HD33" s="54"/>
      <c r="HE33" s="54"/>
      <c r="HF33" s="54"/>
      <c r="HG33" s="201">
        <f t="shared" ca="1" si="348"/>
        <v>235114.18564976542</v>
      </c>
      <c r="HH33" s="201">
        <f t="shared" ca="1" si="349"/>
        <v>132043.21976658926</v>
      </c>
      <c r="HI33" s="201">
        <f t="shared" ca="1" si="350"/>
        <v>17770.682183630808</v>
      </c>
      <c r="HJ33" s="201">
        <f t="shared" ca="1" si="351"/>
        <v>15481.186685962373</v>
      </c>
      <c r="HK33" s="201">
        <f t="shared" ca="1" si="352"/>
        <v>0</v>
      </c>
      <c r="HL33" s="201">
        <f t="shared" ca="1" si="353"/>
        <v>0</v>
      </c>
      <c r="HM33" s="201">
        <f t="shared" ca="1" si="354"/>
        <v>0</v>
      </c>
      <c r="HN33" s="201">
        <f t="shared" ca="1" si="355"/>
        <v>0</v>
      </c>
      <c r="HO33" s="201">
        <f t="shared" ca="1" si="356"/>
        <v>0</v>
      </c>
      <c r="HP33" s="201">
        <f t="shared" ca="1" si="357"/>
        <v>0</v>
      </c>
      <c r="HQ33" s="54"/>
    </row>
    <row r="34" spans="1:225" x14ac:dyDescent="0.3">
      <c r="A34" s="513">
        <v>16</v>
      </c>
      <c r="B34" s="514" t="s">
        <v>439</v>
      </c>
      <c r="C34" s="514" t="s">
        <v>390</v>
      </c>
      <c r="D34" s="514" t="s">
        <v>390</v>
      </c>
      <c r="E34" s="513">
        <v>1</v>
      </c>
      <c r="F34" s="515">
        <v>6.08</v>
      </c>
      <c r="G34" s="515">
        <v>5.46</v>
      </c>
      <c r="H34" s="513">
        <v>1</v>
      </c>
      <c r="I34" s="517">
        <v>1</v>
      </c>
      <c r="J34" s="518" t="s">
        <v>295</v>
      </c>
      <c r="K34" s="513">
        <f t="shared" si="204"/>
        <v>220</v>
      </c>
      <c r="L34" s="519">
        <v>7.56</v>
      </c>
      <c r="M34" s="519">
        <v>6.55</v>
      </c>
      <c r="N34" s="519">
        <v>6.25</v>
      </c>
      <c r="O34" s="519">
        <v>5.95</v>
      </c>
      <c r="P34" s="519">
        <v>5.47</v>
      </c>
      <c r="Q34" s="519">
        <v>5</v>
      </c>
      <c r="R34" s="519">
        <v>4.2</v>
      </c>
      <c r="S34" s="519">
        <v>0</v>
      </c>
      <c r="T34" s="519">
        <v>0</v>
      </c>
      <c r="U34" s="519">
        <v>0</v>
      </c>
      <c r="V34" s="536"/>
      <c r="W34" s="536"/>
      <c r="X34" s="536"/>
      <c r="Y34" s="536"/>
      <c r="Z34" s="536"/>
      <c r="AA34" s="536"/>
      <c r="AB34" s="536"/>
      <c r="AC34" s="536"/>
      <c r="AD34" s="536"/>
      <c r="AE34" s="536"/>
      <c r="AF34" s="54"/>
      <c r="AG34" s="204" t="str">
        <f t="shared" si="465"/>
        <v>Res1</v>
      </c>
      <c r="AH34" s="204">
        <f t="shared" si="294"/>
        <v>6</v>
      </c>
      <c r="AI34" s="204">
        <f t="shared" si="205"/>
        <v>1</v>
      </c>
      <c r="AJ34" s="54"/>
      <c r="AK34" s="74">
        <f>IFERROR(IF(H34&gt;4,0,AI34*Inputs!$C$55),0)</f>
        <v>2.6</v>
      </c>
      <c r="AL34" s="81">
        <f>IFERROR(Inputs!$C$73,0)</f>
        <v>5</v>
      </c>
      <c r="AM34" s="211">
        <f>IFERROR(Inputs!$C$74,0)</f>
        <v>0.24299999999999999</v>
      </c>
      <c r="AN34" s="446">
        <f>IFERROR(HLOOKUP(HLOOKUP(AN$17,$V$18:$AE34,COUNTA($AK$18:$AK34),FALSE),Inputs!$B$58:$H$59,2,FALSE),0)</f>
        <v>0</v>
      </c>
      <c r="AO34" s="447">
        <f t="shared" si="295"/>
        <v>0</v>
      </c>
      <c r="AP34" s="447">
        <f t="shared" si="296"/>
        <v>0</v>
      </c>
      <c r="AQ34" s="446">
        <f>IFERROR(HLOOKUP(HLOOKUP(AQ$17,$V$18:$AE34,COUNTA($AK$18:$AK34),FALSE),Inputs!$B$58:$H$59,2,FALSE),0)</f>
        <v>0</v>
      </c>
      <c r="AR34" s="447">
        <f t="shared" ref="AR34" si="521">2*$AK34*AQ34*$AL34/100*$AM34</f>
        <v>0</v>
      </c>
      <c r="AS34" s="447">
        <f t="shared" si="298"/>
        <v>0</v>
      </c>
      <c r="AT34" s="446">
        <f>IFERROR(HLOOKUP(HLOOKUP(AT$17,$V$18:$AE34,COUNTA($AK$18:$AK34),FALSE),Inputs!$B$58:$H$59,2,FALSE),0)</f>
        <v>0</v>
      </c>
      <c r="AU34" s="447">
        <f t="shared" ref="AU34" si="522">2*$AK34*AT34*$AL34/100*$AM34</f>
        <v>0</v>
      </c>
      <c r="AV34" s="447">
        <f t="shared" si="300"/>
        <v>0</v>
      </c>
      <c r="AW34" s="446">
        <f>IFERROR(HLOOKUP(HLOOKUP(AW$17,$V$18:$AE34,COUNTA($AK$18:$AK34),FALSE),Inputs!$B$58:$H$59,2,FALSE),0)</f>
        <v>0</v>
      </c>
      <c r="AX34" s="447">
        <f t="shared" ref="AX34" si="523">2*$AK34*AW34*$AL34/100*$AM34</f>
        <v>0</v>
      </c>
      <c r="AY34" s="447">
        <f t="shared" si="302"/>
        <v>0</v>
      </c>
      <c r="AZ34" s="446">
        <f>IFERROR(HLOOKUP(HLOOKUP(AZ$17,$V$18:$AE34,COUNTA($AK$18:$AK34),FALSE),Inputs!$B$58:$H$59,2,FALSE),0)</f>
        <v>0</v>
      </c>
      <c r="BA34" s="447">
        <f t="shared" ref="BA34" si="524">2*$AK34*AZ34*$AL34/100*$AM34</f>
        <v>0</v>
      </c>
      <c r="BB34" s="447">
        <f t="shared" si="304"/>
        <v>0</v>
      </c>
      <c r="BC34" s="446">
        <f>IFERROR(HLOOKUP(HLOOKUP(BC$17,$V$18:$AE34,COUNTA($AK$18:$AK34),FALSE),Inputs!$B$58:$H$59,2,FALSE),0)</f>
        <v>0</v>
      </c>
      <c r="BD34" s="447">
        <f t="shared" ref="BD34" si="525">2*$AK34*BC34*$AL34/100*$AM34</f>
        <v>0</v>
      </c>
      <c r="BE34" s="447">
        <f t="shared" si="306"/>
        <v>0</v>
      </c>
      <c r="BF34" s="446">
        <f>IFERROR(HLOOKUP(HLOOKUP(BF$17,$V$18:$AE34,COUNTA($AK$18:$AK34),FALSE),Inputs!$B$58:$H$59,2,FALSE),0)</f>
        <v>0</v>
      </c>
      <c r="BG34" s="447">
        <f t="shared" ref="BG34" si="526">2*$AK34*BF34*$AL34/100*$AM34</f>
        <v>0</v>
      </c>
      <c r="BH34" s="447">
        <f t="shared" si="308"/>
        <v>0</v>
      </c>
      <c r="BI34" s="446">
        <f>IFERROR(HLOOKUP(HLOOKUP(BI$17,$V$18:$AE34,COUNTA($AK$18:$AK34),FALSE),Inputs!$B$58:$H$59,2,FALSE),0)</f>
        <v>0</v>
      </c>
      <c r="BJ34" s="447">
        <f t="shared" ref="BJ34" si="527">2*$AK34*BI34*$AL34/100*$AM34</f>
        <v>0</v>
      </c>
      <c r="BK34" s="447">
        <f t="shared" si="310"/>
        <v>0</v>
      </c>
      <c r="BL34" s="446">
        <f>IFERROR(HLOOKUP(HLOOKUP(BL$17,$V$18:$AE34,COUNTA($AK$18:$AK34),FALSE),Inputs!$B$58:$H$59,2,FALSE),0)</f>
        <v>0</v>
      </c>
      <c r="BM34" s="447">
        <f t="shared" ref="BM34" si="528">2*$AK34*BL34*$AL34/100*$AM34</f>
        <v>0</v>
      </c>
      <c r="BN34" s="447">
        <f t="shared" si="312"/>
        <v>0</v>
      </c>
      <c r="BO34" s="446">
        <f>IFERROR(HLOOKUP(HLOOKUP(BO$17,$V$18:$AE34,COUNTA($AK$18:$AK34),FALSE),Inputs!$B$58:$H$59,2,FALSE),0)</f>
        <v>0</v>
      </c>
      <c r="BP34" s="447">
        <f t="shared" ref="BP34" si="529">2*$AK34*BO34*$AL34/100*$AM34</f>
        <v>0</v>
      </c>
      <c r="BQ34" s="447">
        <f t="shared" si="314"/>
        <v>0</v>
      </c>
      <c r="BR34" s="54"/>
      <c r="BS34" s="103">
        <f t="shared" ca="1" si="224"/>
        <v>853.75741222865418</v>
      </c>
      <c r="BT34" s="103">
        <f t="shared" ca="1" si="396"/>
        <v>458.89909925250316</v>
      </c>
      <c r="BU34" s="103">
        <f t="shared" si="397"/>
        <v>232.06298842257598</v>
      </c>
      <c r="BV34" s="103">
        <f t="shared" si="398"/>
        <v>0</v>
      </c>
      <c r="BW34" s="152">
        <f t="shared" ca="1" si="399"/>
        <v>1544.7194999037333</v>
      </c>
      <c r="BX34" s="441"/>
      <c r="BY34" s="96" t="str">
        <f>TEXT($Q$10,"0%")&amp;" AEP"</f>
        <v>5% AEP</v>
      </c>
      <c r="BZ34" s="355">
        <f t="shared" ref="BZ34" si="530">SUM(BZ35:BZ36)</f>
        <v>19</v>
      </c>
      <c r="CA34" s="92">
        <f t="shared" ref="CA34" si="531">MAX(CA35:CA36)</f>
        <v>1.4000000000000004</v>
      </c>
      <c r="CB34" s="93">
        <f ca="1">$FN$15</f>
        <v>1528960.0221178806</v>
      </c>
      <c r="CC34" s="93">
        <f ca="1">$FN$14</f>
        <v>80471.580111467396</v>
      </c>
      <c r="CD34" s="54"/>
      <c r="CE34" s="96" t="str">
        <f>TEXT($Q$10,"0%")&amp;" AEP"</f>
        <v>5% AEP</v>
      </c>
      <c r="CF34" s="355">
        <f t="shared" ref="CF34" si="532">SUM(CF35:CF36)</f>
        <v>19</v>
      </c>
      <c r="CG34" s="92">
        <f t="shared" ref="CG34" si="533">MAX(CG35:CG36)</f>
        <v>1.4000000000000004</v>
      </c>
      <c r="CH34" s="93">
        <f ca="1">$FP$15</f>
        <v>947138.15288391476</v>
      </c>
      <c r="CI34" s="93">
        <f ca="1">$FP$14</f>
        <v>49849.376467574461</v>
      </c>
      <c r="CJ34" s="54"/>
      <c r="CK34" s="96" t="str">
        <f>TEXT($Q$10,"0%")&amp;" AEP"</f>
        <v>5% AEP</v>
      </c>
      <c r="CL34" s="355">
        <f t="shared" ref="CL34" si="534">SUM(CL35:CL36)</f>
        <v>31</v>
      </c>
      <c r="CM34" s="92">
        <f t="shared" ref="CM34" si="535">MAX(CM35:CM36)</f>
        <v>1.8900000000000006</v>
      </c>
      <c r="CN34" s="93">
        <f>$FR$15</f>
        <v>357615.41244573082</v>
      </c>
      <c r="CO34" s="93">
        <f>$FR$14</f>
        <v>11535.981046636478</v>
      </c>
      <c r="CP34" s="54"/>
      <c r="CQ34" s="96" t="str">
        <f>TEXT($Q$10,"0%")&amp;" AEP"</f>
        <v>5% AEP</v>
      </c>
      <c r="CR34" s="355">
        <f t="shared" ref="CR34" si="536">SUM(CR35:CR36)</f>
        <v>19</v>
      </c>
      <c r="CS34" s="92">
        <f t="shared" ref="CS34" si="537">MAX(CS35:CS36)</f>
        <v>1.4000000000000004</v>
      </c>
      <c r="CT34" s="93">
        <f>$FT$15</f>
        <v>0</v>
      </c>
      <c r="CU34" s="93" t="str">
        <f>$FT$14</f>
        <v>--</v>
      </c>
      <c r="CV34" s="54"/>
      <c r="CW34" s="96" t="str">
        <f>TEXT($Q$10,"0%")&amp;" AEP"</f>
        <v>5% AEP</v>
      </c>
      <c r="CX34" s="355">
        <f t="shared" ref="CX34" si="538">SUM(CX35:CX36)</f>
        <v>19</v>
      </c>
      <c r="CY34" s="92">
        <f t="shared" ref="CY34" si="539">MAX(CY35:CY36)</f>
        <v>1.4000000000000004</v>
      </c>
      <c r="CZ34" s="93">
        <f ca="1">SUM(DetailedStructural[[#This Row],[Total Damages]],DetailedInternal[[#This Row],[Total Damages]],DetailedExternal[[#This Row],[Total Damages]],DetailedRiskToLife[[#This Row],[Total Damages]])</f>
        <v>2833713.5874475264</v>
      </c>
      <c r="DA34" s="93">
        <f ca="1">SUM(DetailedStructural[[#This Row],[AAD per Property]],DetailedInternal[[#This Row],[AAD per Property]],DetailedExternal[[#This Row],[AAD per Property]],DetailedRiskToLife[[#This Row],[AAD per Property]])</f>
        <v>141856.93762567834</v>
      </c>
      <c r="DB34" s="54"/>
      <c r="DC34" s="54"/>
      <c r="DD34" s="188">
        <f t="shared" si="315"/>
        <v>1.4799999999999995</v>
      </c>
      <c r="DE34" s="188">
        <f t="shared" si="316"/>
        <v>0.46999999999999975</v>
      </c>
      <c r="DF34" s="188">
        <f t="shared" si="317"/>
        <v>0.16999999999999993</v>
      </c>
      <c r="DG34" s="188">
        <f t="shared" si="318"/>
        <v>-0.12999999999999989</v>
      </c>
      <c r="DH34" s="188">
        <f t="shared" si="319"/>
        <v>-0.3</v>
      </c>
      <c r="DI34" s="188">
        <f t="shared" si="320"/>
        <v>-0.3</v>
      </c>
      <c r="DJ34" s="188">
        <f t="shared" si="321"/>
        <v>-0.3</v>
      </c>
      <c r="DK34" s="188">
        <f t="shared" si="322"/>
        <v>-0.3</v>
      </c>
      <c r="DL34" s="188">
        <f t="shared" si="323"/>
        <v>-0.3</v>
      </c>
      <c r="DM34" s="188">
        <f t="shared" si="324"/>
        <v>-0.3</v>
      </c>
      <c r="DN34" s="189">
        <f t="shared" si="325"/>
        <v>2.0999999999999996</v>
      </c>
      <c r="DO34" s="189">
        <f t="shared" si="326"/>
        <v>1.0899999999999999</v>
      </c>
      <c r="DP34" s="189">
        <f t="shared" si="327"/>
        <v>0.79</v>
      </c>
      <c r="DQ34" s="189">
        <f t="shared" si="328"/>
        <v>0.49000000000000021</v>
      </c>
      <c r="DR34" s="189">
        <f t="shared" si="329"/>
        <v>9.9999999999997868E-3</v>
      </c>
      <c r="DS34" s="189">
        <f t="shared" si="330"/>
        <v>0</v>
      </c>
      <c r="DT34" s="189">
        <f t="shared" si="331"/>
        <v>0</v>
      </c>
      <c r="DU34" s="189">
        <f t="shared" si="332"/>
        <v>0</v>
      </c>
      <c r="DV34" s="189">
        <f t="shared" si="333"/>
        <v>0</v>
      </c>
      <c r="DW34" s="189">
        <f t="shared" si="334"/>
        <v>0</v>
      </c>
      <c r="DX34" s="54"/>
      <c r="DY34" s="54"/>
      <c r="DZ34" s="199">
        <f t="shared" ca="1" si="237"/>
        <v>147814.37047756877</v>
      </c>
      <c r="EA34" s="200">
        <f t="shared" si="335"/>
        <v>1</v>
      </c>
      <c r="EB34" s="201">
        <f t="shared" ca="1" si="238"/>
        <v>120417.76015932886</v>
      </c>
      <c r="EC34" s="200">
        <f t="shared" si="336"/>
        <v>1</v>
      </c>
      <c r="ED34" s="201" cm="1">
        <f t="array" ref="ED34">IF(LEFT($AG34,3)="Res",IF(OR($DN34&gt;External_Threshold,$DD34&gt;0),1*Uplift*AWE*(External),0),0)</f>
        <v>15481.186685962373</v>
      </c>
      <c r="EE34" s="200">
        <f t="shared" si="337"/>
        <v>1</v>
      </c>
      <c r="EF34" s="201">
        <f t="shared" si="239"/>
        <v>0</v>
      </c>
      <c r="EG34" s="203">
        <f t="shared" si="338"/>
        <v>0</v>
      </c>
      <c r="EH34" s="199">
        <f t="shared" ca="1" si="240"/>
        <v>108987.5542691751</v>
      </c>
      <c r="EI34" s="200">
        <f t="shared" si="241"/>
        <v>1</v>
      </c>
      <c r="EJ34" s="201">
        <f t="shared" ca="1" si="242"/>
        <v>74310.110846332886</v>
      </c>
      <c r="EK34" s="200">
        <f t="shared" si="243"/>
        <v>1</v>
      </c>
      <c r="EL34" s="201" cm="1">
        <f t="array" ref="EL34">IF(LEFT($AG34,3)="Res",IF(OR($DO34&gt;External_Threshold,$DE34&gt;0),1*Uplift*AWE*(External),0),0)</f>
        <v>15481.186685962373</v>
      </c>
      <c r="EM34" s="200">
        <f t="shared" si="244"/>
        <v>1</v>
      </c>
      <c r="EN34" s="201">
        <f t="shared" si="245"/>
        <v>0</v>
      </c>
      <c r="EO34" s="203">
        <f t="shared" si="339"/>
        <v>0</v>
      </c>
      <c r="EP34" s="199">
        <f t="shared" ca="1" si="246"/>
        <v>101664.95296671492</v>
      </c>
      <c r="EQ34" s="200">
        <f t="shared" si="247"/>
        <v>1</v>
      </c>
      <c r="ER34" s="201">
        <f t="shared" ca="1" si="248"/>
        <v>38419.925333092608</v>
      </c>
      <c r="ES34" s="200">
        <f t="shared" si="249"/>
        <v>1</v>
      </c>
      <c r="ET34" s="201" cm="1">
        <f t="array" ref="ET34">IF(LEFT($AG34,3)="Res",IF(OR($DP34&gt;External_Threshold,$DF34&gt;0),1*Uplift*AWE*(External),0),0)</f>
        <v>15481.186685962373</v>
      </c>
      <c r="EU34" s="200">
        <f t="shared" si="250"/>
        <v>1</v>
      </c>
      <c r="EV34" s="201">
        <f t="shared" si="251"/>
        <v>0</v>
      </c>
      <c r="EW34" s="203">
        <f t="shared" si="340"/>
        <v>0</v>
      </c>
      <c r="EX34" s="199">
        <f t="shared" ca="1" si="252"/>
        <v>3746.4471780028939</v>
      </c>
      <c r="EY34" s="200">
        <f t="shared" si="253"/>
        <v>0</v>
      </c>
      <c r="EZ34" s="201">
        <f t="shared" ca="1" si="254"/>
        <v>0</v>
      </c>
      <c r="FA34" s="200">
        <f t="shared" si="255"/>
        <v>0</v>
      </c>
      <c r="FB34" s="201" cm="1">
        <f t="array" ref="FB34">IF(LEFT($AG34,3)="Res",IF(OR($DQ34&gt;External_Threshold,$DG34&gt;0),1*Uplift*AWE*(External),0),0)</f>
        <v>15481.186685962373</v>
      </c>
      <c r="FC34" s="200">
        <f t="shared" si="256"/>
        <v>1</v>
      </c>
      <c r="FD34" s="201">
        <f t="shared" si="257"/>
        <v>0</v>
      </c>
      <c r="FE34" s="203">
        <f t="shared" si="341"/>
        <v>0</v>
      </c>
      <c r="FF34" s="199">
        <f t="shared" ca="1" si="258"/>
        <v>0</v>
      </c>
      <c r="FG34" s="200">
        <f t="shared" si="259"/>
        <v>0</v>
      </c>
      <c r="FH34" s="201">
        <f t="shared" ca="1" si="260"/>
        <v>0</v>
      </c>
      <c r="FI34" s="200">
        <f t="shared" si="261"/>
        <v>0</v>
      </c>
      <c r="FJ34" s="201" cm="1">
        <f t="array" ref="FJ34">IF(LEFT($AG34,3)="Res",IF(OR($DR34&gt;External_Threshold,$DH34&gt;0),1*Uplift*AWE*(External),0),0)</f>
        <v>0</v>
      </c>
      <c r="FK34" s="200">
        <f t="shared" si="262"/>
        <v>1</v>
      </c>
      <c r="FL34" s="201">
        <f t="shared" si="263"/>
        <v>0</v>
      </c>
      <c r="FM34" s="203">
        <f t="shared" si="342"/>
        <v>0</v>
      </c>
      <c r="FN34" s="199">
        <f t="shared" ca="1" si="264"/>
        <v>0</v>
      </c>
      <c r="FO34" s="200">
        <f t="shared" si="265"/>
        <v>0</v>
      </c>
      <c r="FP34" s="201">
        <f t="shared" ca="1" si="266"/>
        <v>0</v>
      </c>
      <c r="FQ34" s="200">
        <f t="shared" si="267"/>
        <v>0</v>
      </c>
      <c r="FR34" s="201" cm="1">
        <f t="array" ref="FR34">IF(LEFT($AG34,3)="Res",IF(OR($DS34&gt;External_Threshold,$DI34&gt;0),1*Uplift*AWE*(External),0),0)</f>
        <v>0</v>
      </c>
      <c r="FS34" s="200">
        <f t="shared" si="268"/>
        <v>0</v>
      </c>
      <c r="FT34" s="201">
        <f t="shared" si="269"/>
        <v>0</v>
      </c>
      <c r="FU34" s="203">
        <f t="shared" si="343"/>
        <v>0</v>
      </c>
      <c r="FV34" s="199">
        <f t="shared" ca="1" si="270"/>
        <v>0</v>
      </c>
      <c r="FW34" s="200">
        <f t="shared" si="271"/>
        <v>0</v>
      </c>
      <c r="FX34" s="201">
        <f t="shared" ca="1" si="272"/>
        <v>0</v>
      </c>
      <c r="FY34" s="200">
        <f t="shared" si="273"/>
        <v>0</v>
      </c>
      <c r="FZ34" s="201" cm="1">
        <f t="array" ref="FZ34">IF(LEFT($AG34,3)="Res",IF(OR($DT34&gt;External_Threshold,$DJ34&gt;0),1*Uplift*AWE*(External),0),0)</f>
        <v>0</v>
      </c>
      <c r="GA34" s="200">
        <f t="shared" si="274"/>
        <v>0</v>
      </c>
      <c r="GB34" s="201">
        <f t="shared" si="275"/>
        <v>0</v>
      </c>
      <c r="GC34" s="203">
        <f t="shared" si="344"/>
        <v>0</v>
      </c>
      <c r="GD34" s="199">
        <f t="shared" ca="1" si="276"/>
        <v>0</v>
      </c>
      <c r="GE34" s="200">
        <f t="shared" si="277"/>
        <v>0</v>
      </c>
      <c r="GF34" s="201">
        <f t="shared" ca="1" si="278"/>
        <v>0</v>
      </c>
      <c r="GG34" s="200">
        <f t="shared" si="279"/>
        <v>0</v>
      </c>
      <c r="GH34" s="201" cm="1">
        <f t="array" ref="GH34">IF(LEFT($AG34,3)="Res",IF(OR($DU34&gt;External_Threshold,$DK34&gt;0),1*Uplift*AWE*(External),0),0)</f>
        <v>0</v>
      </c>
      <c r="GI34" s="200">
        <f t="shared" si="280"/>
        <v>0</v>
      </c>
      <c r="GJ34" s="201">
        <f t="shared" si="281"/>
        <v>0</v>
      </c>
      <c r="GK34" s="203">
        <f t="shared" si="345"/>
        <v>0</v>
      </c>
      <c r="GL34" s="199">
        <f t="shared" ca="1" si="282"/>
        <v>0</v>
      </c>
      <c r="GM34" s="200">
        <f t="shared" si="283"/>
        <v>0</v>
      </c>
      <c r="GN34" s="201">
        <f t="shared" ca="1" si="284"/>
        <v>0</v>
      </c>
      <c r="GO34" s="200">
        <f t="shared" si="285"/>
        <v>0</v>
      </c>
      <c r="GP34" s="201" cm="1">
        <f t="array" ref="GP34">IF(LEFT($AG34,3)="Res",IF(OR($DV34&gt;External_Threshold,$DL34&gt;0),1*Uplift*AWE*(External),0),0)</f>
        <v>0</v>
      </c>
      <c r="GQ34" s="200">
        <f t="shared" si="286"/>
        <v>0</v>
      </c>
      <c r="GR34" s="201">
        <f t="shared" si="287"/>
        <v>0</v>
      </c>
      <c r="GS34" s="203">
        <f t="shared" si="346"/>
        <v>0</v>
      </c>
      <c r="GT34" s="199">
        <f t="shared" ca="1" si="288"/>
        <v>0</v>
      </c>
      <c r="GU34" s="200">
        <f t="shared" si="289"/>
        <v>0</v>
      </c>
      <c r="GV34" s="201">
        <f t="shared" ca="1" si="290"/>
        <v>0</v>
      </c>
      <c r="GW34" s="200">
        <f t="shared" si="291"/>
        <v>0</v>
      </c>
      <c r="GX34" s="201" cm="1">
        <f t="array" ref="GX34">IF(LEFT($AG34,3)="Res",IF(OR($DW34&gt;External_Threshold,$DM34&gt;0),1*Uplift*AWE*(External),0),0)</f>
        <v>0</v>
      </c>
      <c r="GY34" s="200">
        <f t="shared" si="292"/>
        <v>0</v>
      </c>
      <c r="GZ34" s="201">
        <f t="shared" si="293"/>
        <v>0</v>
      </c>
      <c r="HA34" s="203">
        <f t="shared" si="347"/>
        <v>0</v>
      </c>
      <c r="HB34" s="54"/>
      <c r="HC34" s="54"/>
      <c r="HD34" s="54"/>
      <c r="HE34" s="54"/>
      <c r="HF34" s="54"/>
      <c r="HG34" s="201">
        <f t="shared" ca="1" si="348"/>
        <v>283713.31732286001</v>
      </c>
      <c r="HH34" s="201">
        <f t="shared" ca="1" si="349"/>
        <v>198778.85180147036</v>
      </c>
      <c r="HI34" s="201">
        <f t="shared" ca="1" si="350"/>
        <v>155566.06498576989</v>
      </c>
      <c r="HJ34" s="201">
        <f t="shared" ca="1" si="351"/>
        <v>19227.633863965268</v>
      </c>
      <c r="HK34" s="201">
        <f t="shared" ca="1" si="352"/>
        <v>0</v>
      </c>
      <c r="HL34" s="201">
        <f t="shared" ca="1" si="353"/>
        <v>0</v>
      </c>
      <c r="HM34" s="201">
        <f t="shared" ca="1" si="354"/>
        <v>0</v>
      </c>
      <c r="HN34" s="201">
        <f t="shared" ca="1" si="355"/>
        <v>0</v>
      </c>
      <c r="HO34" s="201">
        <f t="shared" ca="1" si="356"/>
        <v>0</v>
      </c>
      <c r="HP34" s="201">
        <f t="shared" ca="1" si="357"/>
        <v>0</v>
      </c>
      <c r="HQ34" s="54"/>
    </row>
    <row r="35" spans="1:225" x14ac:dyDescent="0.3">
      <c r="A35" s="513">
        <v>17</v>
      </c>
      <c r="B35" s="514" t="s">
        <v>440</v>
      </c>
      <c r="C35" s="514" t="s">
        <v>390</v>
      </c>
      <c r="D35" s="514" t="s">
        <v>390</v>
      </c>
      <c r="E35" s="513">
        <v>1</v>
      </c>
      <c r="F35" s="515">
        <v>5.12</v>
      </c>
      <c r="G35" s="515">
        <v>4.79</v>
      </c>
      <c r="H35" s="513">
        <v>2</v>
      </c>
      <c r="I35" s="517">
        <v>1</v>
      </c>
      <c r="J35" s="518" t="s">
        <v>295</v>
      </c>
      <c r="K35" s="513">
        <f t="shared" si="204"/>
        <v>220</v>
      </c>
      <c r="L35" s="519">
        <v>7.56</v>
      </c>
      <c r="M35" s="519">
        <v>6.55</v>
      </c>
      <c r="N35" s="519">
        <v>6.25</v>
      </c>
      <c r="O35" s="519">
        <v>5.95</v>
      </c>
      <c r="P35" s="519">
        <v>5.47</v>
      </c>
      <c r="Q35" s="519">
        <v>4.99</v>
      </c>
      <c r="R35" s="519">
        <v>4.1900000000000004</v>
      </c>
      <c r="S35" s="519">
        <v>0</v>
      </c>
      <c r="T35" s="519">
        <v>0</v>
      </c>
      <c r="U35" s="519">
        <v>0</v>
      </c>
      <c r="V35" s="536"/>
      <c r="W35" s="536"/>
      <c r="X35" s="536"/>
      <c r="Y35" s="536"/>
      <c r="Z35" s="536"/>
      <c r="AA35" s="536"/>
      <c r="AB35" s="536"/>
      <c r="AC35" s="536"/>
      <c r="AD35" s="536"/>
      <c r="AE35" s="536"/>
      <c r="AF35" s="54"/>
      <c r="AG35" s="204" t="str">
        <f t="shared" si="465"/>
        <v>Res1</v>
      </c>
      <c r="AH35" s="204">
        <f t="shared" si="294"/>
        <v>6</v>
      </c>
      <c r="AI35" s="204">
        <f t="shared" si="205"/>
        <v>1</v>
      </c>
      <c r="AJ35" s="54"/>
      <c r="AK35" s="74">
        <f>IFERROR(IF(H35&gt;4,0,AI35*Inputs!$C$55),0)</f>
        <v>2.6</v>
      </c>
      <c r="AL35" s="81">
        <f>IFERROR(Inputs!$C$73,0)</f>
        <v>5</v>
      </c>
      <c r="AM35" s="211">
        <f>IFERROR(Inputs!$C$74,0)</f>
        <v>0.24299999999999999</v>
      </c>
      <c r="AN35" s="446">
        <f>IFERROR(HLOOKUP(HLOOKUP(AN$17,$V$18:$AE35,COUNTA($AK$18:$AK35),FALSE),Inputs!$B$58:$H$59,2,FALSE),0)</f>
        <v>0</v>
      </c>
      <c r="AO35" s="447">
        <f t="shared" si="295"/>
        <v>0</v>
      </c>
      <c r="AP35" s="447">
        <f t="shared" si="296"/>
        <v>0</v>
      </c>
      <c r="AQ35" s="446">
        <f>IFERROR(HLOOKUP(HLOOKUP(AQ$17,$V$18:$AE35,COUNTA($AK$18:$AK35),FALSE),Inputs!$B$58:$H$59,2,FALSE),0)</f>
        <v>0</v>
      </c>
      <c r="AR35" s="447">
        <f t="shared" ref="AR35" si="540">2*$AK35*AQ35*$AL35/100*$AM35</f>
        <v>0</v>
      </c>
      <c r="AS35" s="447">
        <f t="shared" si="298"/>
        <v>0</v>
      </c>
      <c r="AT35" s="446">
        <f>IFERROR(HLOOKUP(HLOOKUP(AT$17,$V$18:$AE35,COUNTA($AK$18:$AK35),FALSE),Inputs!$B$58:$H$59,2,FALSE),0)</f>
        <v>0</v>
      </c>
      <c r="AU35" s="447">
        <f t="shared" ref="AU35" si="541">2*$AK35*AT35*$AL35/100*$AM35</f>
        <v>0</v>
      </c>
      <c r="AV35" s="447">
        <f t="shared" si="300"/>
        <v>0</v>
      </c>
      <c r="AW35" s="446">
        <f>IFERROR(HLOOKUP(HLOOKUP(AW$17,$V$18:$AE35,COUNTA($AK$18:$AK35),FALSE),Inputs!$B$58:$H$59,2,FALSE),0)</f>
        <v>0</v>
      </c>
      <c r="AX35" s="447">
        <f t="shared" ref="AX35" si="542">2*$AK35*AW35*$AL35/100*$AM35</f>
        <v>0</v>
      </c>
      <c r="AY35" s="447">
        <f t="shared" si="302"/>
        <v>0</v>
      </c>
      <c r="AZ35" s="446">
        <f>IFERROR(HLOOKUP(HLOOKUP(AZ$17,$V$18:$AE35,COUNTA($AK$18:$AK35),FALSE),Inputs!$B$58:$H$59,2,FALSE),0)</f>
        <v>0</v>
      </c>
      <c r="BA35" s="447">
        <f t="shared" ref="BA35" si="543">2*$AK35*AZ35*$AL35/100*$AM35</f>
        <v>0</v>
      </c>
      <c r="BB35" s="447">
        <f t="shared" si="304"/>
        <v>0</v>
      </c>
      <c r="BC35" s="446">
        <f>IFERROR(HLOOKUP(HLOOKUP(BC$17,$V$18:$AE35,COUNTA($AK$18:$AK35),FALSE),Inputs!$B$58:$H$59,2,FALSE),0)</f>
        <v>0</v>
      </c>
      <c r="BD35" s="447">
        <f t="shared" ref="BD35" si="544">2*$AK35*BC35*$AL35/100*$AM35</f>
        <v>0</v>
      </c>
      <c r="BE35" s="447">
        <f t="shared" si="306"/>
        <v>0</v>
      </c>
      <c r="BF35" s="446">
        <f>IFERROR(HLOOKUP(HLOOKUP(BF$17,$V$18:$AE35,COUNTA($AK$18:$AK35),FALSE),Inputs!$B$58:$H$59,2,FALSE),0)</f>
        <v>0</v>
      </c>
      <c r="BG35" s="447">
        <f t="shared" ref="BG35" si="545">2*$AK35*BF35*$AL35/100*$AM35</f>
        <v>0</v>
      </c>
      <c r="BH35" s="447">
        <f t="shared" si="308"/>
        <v>0</v>
      </c>
      <c r="BI35" s="446">
        <f>IFERROR(HLOOKUP(HLOOKUP(BI$17,$V$18:$AE35,COUNTA($AK$18:$AK35),FALSE),Inputs!$B$58:$H$59,2,FALSE),0)</f>
        <v>0</v>
      </c>
      <c r="BJ35" s="447">
        <f t="shared" ref="BJ35" si="546">2*$AK35*BI35*$AL35/100*$AM35</f>
        <v>0</v>
      </c>
      <c r="BK35" s="447">
        <f t="shared" si="310"/>
        <v>0</v>
      </c>
      <c r="BL35" s="446">
        <f>IFERROR(HLOOKUP(HLOOKUP(BL$17,$V$18:$AE35,COUNTA($AK$18:$AK35),FALSE),Inputs!$B$58:$H$59,2,FALSE),0)</f>
        <v>0</v>
      </c>
      <c r="BM35" s="447">
        <f t="shared" ref="BM35" si="547">2*$AK35*BL35*$AL35/100*$AM35</f>
        <v>0</v>
      </c>
      <c r="BN35" s="447">
        <f t="shared" si="312"/>
        <v>0</v>
      </c>
      <c r="BO35" s="446">
        <f>IFERROR(HLOOKUP(HLOOKUP(BO$17,$V$18:$AE35,COUNTA($AK$18:$AK35),FALSE),Inputs!$B$58:$H$59,2,FALSE),0)</f>
        <v>0</v>
      </c>
      <c r="BP35" s="447">
        <f t="shared" ref="BP35" si="548">2*$AK35*BO35*$AL35/100*$AM35</f>
        <v>0</v>
      </c>
      <c r="BQ35" s="447">
        <f t="shared" si="314"/>
        <v>0</v>
      </c>
      <c r="BR35" s="54"/>
      <c r="BS35" s="103">
        <f t="shared" ca="1" si="224"/>
        <v>4256.5557058080076</v>
      </c>
      <c r="BT35" s="103">
        <f t="shared" ca="1" si="396"/>
        <v>2960.3997309599608</v>
      </c>
      <c r="BU35" s="103">
        <f t="shared" si="397"/>
        <v>541.68672214182345</v>
      </c>
      <c r="BV35" s="103">
        <f t="shared" si="398"/>
        <v>0</v>
      </c>
      <c r="BW35" s="152">
        <f t="shared" ca="1" si="399"/>
        <v>7758.6421589097918</v>
      </c>
      <c r="BX35" s="441"/>
      <c r="BY35" s="94" t="s">
        <v>91</v>
      </c>
      <c r="BZ35" s="356">
        <f>$DI$9</f>
        <v>15</v>
      </c>
      <c r="CA35" s="95">
        <f>$DI$7</f>
        <v>1.4000000000000004</v>
      </c>
      <c r="CB35" s="79">
        <f ca="1">$FN$10</f>
        <v>1206237.9687700998</v>
      </c>
      <c r="CC35" s="79">
        <f ca="1">$FN$9</f>
        <v>80415.864584673327</v>
      </c>
      <c r="CD35" s="54"/>
      <c r="CE35" s="94" t="s">
        <v>91</v>
      </c>
      <c r="CF35" s="356">
        <f>$DI$9</f>
        <v>15</v>
      </c>
      <c r="CG35" s="95">
        <f>$DI$7</f>
        <v>1.4000000000000004</v>
      </c>
      <c r="CH35" s="79">
        <f ca="1">$FP$10</f>
        <v>861034.68443992257</v>
      </c>
      <c r="CI35" s="79">
        <f ca="1">$FP$9</f>
        <v>57402.312295994838</v>
      </c>
      <c r="CJ35" s="54"/>
      <c r="CK35" s="94" t="s">
        <v>91</v>
      </c>
      <c r="CL35" s="356">
        <f>$DS$9</f>
        <v>27</v>
      </c>
      <c r="CM35" s="95">
        <f>$DS$7</f>
        <v>1.7400000000000002</v>
      </c>
      <c r="CN35" s="79">
        <f>$FR$10</f>
        <v>325104.92040520982</v>
      </c>
      <c r="CO35" s="79">
        <f>$FR$9</f>
        <v>12040.922977970735</v>
      </c>
      <c r="CP35" s="54"/>
      <c r="CQ35" s="94" t="s">
        <v>91</v>
      </c>
      <c r="CR35" s="356">
        <f>$DI$9</f>
        <v>15</v>
      </c>
      <c r="CS35" s="95">
        <f>$DI$7</f>
        <v>1.4000000000000004</v>
      </c>
      <c r="CT35" s="79">
        <f>$FT$10</f>
        <v>0</v>
      </c>
      <c r="CU35" s="79" t="str">
        <f>$FT$9</f>
        <v>--</v>
      </c>
      <c r="CV35" s="54"/>
      <c r="CW35" s="94" t="s">
        <v>91</v>
      </c>
      <c r="CX35" s="356">
        <f>$DI$9</f>
        <v>15</v>
      </c>
      <c r="CY35" s="95">
        <f>$DI$7</f>
        <v>1.4000000000000004</v>
      </c>
      <c r="CZ35" s="79">
        <f ca="1">SUM(DetailedStructural[[#This Row],[Total Damages]],DetailedInternal[[#This Row],[Total Damages]],DetailedExternal[[#This Row],[Total Damages]],DetailedRiskToLife[[#This Row],[Total Damages]])</f>
        <v>2392377.5736152325</v>
      </c>
      <c r="DA35" s="79">
        <f ca="1">SUM(DetailedStructural[[#This Row],[AAD per Property]],DetailedInternal[[#This Row],[AAD per Property]],DetailedExternal[[#This Row],[AAD per Property]],DetailedRiskToLife[[#This Row],[AAD per Property]])</f>
        <v>149859.09985863889</v>
      </c>
      <c r="DB35" s="54"/>
      <c r="DC35" s="54"/>
      <c r="DD35" s="188">
        <f t="shared" si="315"/>
        <v>2.4399999999999995</v>
      </c>
      <c r="DE35" s="188">
        <f t="shared" si="316"/>
        <v>1.4299999999999997</v>
      </c>
      <c r="DF35" s="188">
        <f t="shared" si="317"/>
        <v>1.1299999999999999</v>
      </c>
      <c r="DG35" s="188">
        <f t="shared" si="318"/>
        <v>0.83000000000000007</v>
      </c>
      <c r="DH35" s="188">
        <f t="shared" si="319"/>
        <v>0.34999999999999964</v>
      </c>
      <c r="DI35" s="188">
        <f t="shared" si="320"/>
        <v>-0.12999999999999989</v>
      </c>
      <c r="DJ35" s="188">
        <f t="shared" si="321"/>
        <v>-0.3</v>
      </c>
      <c r="DK35" s="188">
        <f t="shared" si="322"/>
        <v>-0.3</v>
      </c>
      <c r="DL35" s="188">
        <f t="shared" si="323"/>
        <v>-0.3</v>
      </c>
      <c r="DM35" s="188">
        <f t="shared" si="324"/>
        <v>-0.3</v>
      </c>
      <c r="DN35" s="189">
        <f t="shared" si="325"/>
        <v>2.7699999999999996</v>
      </c>
      <c r="DO35" s="189">
        <f t="shared" si="326"/>
        <v>1.7599999999999998</v>
      </c>
      <c r="DP35" s="189">
        <f t="shared" si="327"/>
        <v>1.46</v>
      </c>
      <c r="DQ35" s="189">
        <f t="shared" si="328"/>
        <v>1.1600000000000001</v>
      </c>
      <c r="DR35" s="189">
        <f t="shared" si="329"/>
        <v>0.67999999999999972</v>
      </c>
      <c r="DS35" s="189">
        <f t="shared" si="330"/>
        <v>0.20000000000000018</v>
      </c>
      <c r="DT35" s="189">
        <f t="shared" si="331"/>
        <v>0</v>
      </c>
      <c r="DU35" s="189">
        <f t="shared" si="332"/>
        <v>0</v>
      </c>
      <c r="DV35" s="189">
        <f t="shared" si="333"/>
        <v>0</v>
      </c>
      <c r="DW35" s="189">
        <f t="shared" si="334"/>
        <v>0</v>
      </c>
      <c r="DX35" s="54"/>
      <c r="DY35" s="54"/>
      <c r="DZ35" s="199">
        <f t="shared" ca="1" si="237"/>
        <v>184007.32079112399</v>
      </c>
      <c r="EA35" s="200">
        <f t="shared" si="335"/>
        <v>1</v>
      </c>
      <c r="EB35" s="201">
        <f t="shared" ca="1" si="238"/>
        <v>128859.47977295506</v>
      </c>
      <c r="EC35" s="200">
        <f t="shared" si="336"/>
        <v>1</v>
      </c>
      <c r="ED35" s="201" cm="1">
        <f t="array" ref="ED35">IF(LEFT($AG35,3)="Res",IF(OR($DN35&gt;External_Threshold,$DD35&gt;0),1*Uplift*AWE*(External),0),0)</f>
        <v>15481.186685962373</v>
      </c>
      <c r="EE35" s="200">
        <f t="shared" si="337"/>
        <v>1</v>
      </c>
      <c r="EF35" s="201">
        <f t="shared" si="239"/>
        <v>0</v>
      </c>
      <c r="EG35" s="203">
        <f t="shared" si="338"/>
        <v>0</v>
      </c>
      <c r="EH35" s="199">
        <f t="shared" ca="1" si="240"/>
        <v>144953.44717800291</v>
      </c>
      <c r="EI35" s="200">
        <f t="shared" si="241"/>
        <v>1</v>
      </c>
      <c r="EJ35" s="201">
        <f t="shared" ca="1" si="242"/>
        <v>119513.25789707383</v>
      </c>
      <c r="EK35" s="200">
        <f t="shared" si="243"/>
        <v>1</v>
      </c>
      <c r="EL35" s="201" cm="1">
        <f t="array" ref="EL35">IF(LEFT($AG35,3)="Res",IF(OR($DO35&gt;External_Threshold,$DE35&gt;0),1*Uplift*AWE*(External),0),0)</f>
        <v>15481.186685962373</v>
      </c>
      <c r="EM35" s="200">
        <f t="shared" si="244"/>
        <v>1</v>
      </c>
      <c r="EN35" s="201">
        <f t="shared" si="245"/>
        <v>0</v>
      </c>
      <c r="EO35" s="203">
        <f t="shared" si="339"/>
        <v>0</v>
      </c>
      <c r="EP35" s="199">
        <f t="shared" ca="1" si="246"/>
        <v>127787.90738060781</v>
      </c>
      <c r="EQ35" s="200">
        <f t="shared" si="247"/>
        <v>1</v>
      </c>
      <c r="ER35" s="201">
        <f t="shared" ca="1" si="248"/>
        <v>114086.24432354364</v>
      </c>
      <c r="ES35" s="200">
        <f t="shared" si="249"/>
        <v>1</v>
      </c>
      <c r="ET35" s="201" cm="1">
        <f t="array" ref="ET35">IF(LEFT($AG35,3)="Res",IF(OR($DP35&gt;External_Threshold,$DF35&gt;0),1*Uplift*AWE*(External),0),0)</f>
        <v>15481.186685962373</v>
      </c>
      <c r="EU35" s="200">
        <f t="shared" si="250"/>
        <v>1</v>
      </c>
      <c r="EV35" s="201">
        <f t="shared" si="251"/>
        <v>0</v>
      </c>
      <c r="EW35" s="203">
        <f t="shared" si="340"/>
        <v>0</v>
      </c>
      <c r="EX35" s="199">
        <f t="shared" ca="1" si="252"/>
        <v>116139.86251808972</v>
      </c>
      <c r="EY35" s="200">
        <f t="shared" si="253"/>
        <v>1</v>
      </c>
      <c r="EZ35" s="201">
        <f t="shared" ca="1" si="254"/>
        <v>99407.217176483216</v>
      </c>
      <c r="FA35" s="200">
        <f t="shared" si="255"/>
        <v>1</v>
      </c>
      <c r="FB35" s="201" cm="1">
        <f t="array" ref="FB35">IF(LEFT($AG35,3)="Res",IF(OR($DQ35&gt;External_Threshold,$DG35&gt;0),1*Uplift*AWE*(External),0),0)</f>
        <v>15481.186685962373</v>
      </c>
      <c r="FC35" s="200">
        <f t="shared" si="256"/>
        <v>1</v>
      </c>
      <c r="FD35" s="201">
        <f t="shared" si="257"/>
        <v>0</v>
      </c>
      <c r="FE35" s="203">
        <f t="shared" si="341"/>
        <v>0</v>
      </c>
      <c r="FF35" s="199">
        <f t="shared" ca="1" si="258"/>
        <v>108987.5542691751</v>
      </c>
      <c r="FG35" s="200">
        <f t="shared" si="259"/>
        <v>1</v>
      </c>
      <c r="FH35" s="201">
        <f t="shared" ca="1" si="260"/>
        <v>66604.993200743629</v>
      </c>
      <c r="FI35" s="200">
        <f t="shared" si="261"/>
        <v>1</v>
      </c>
      <c r="FJ35" s="201" cm="1">
        <f t="array" ref="FJ35">IF(LEFT($AG35,3)="Res",IF(OR($DR35&gt;External_Threshold,$DH35&gt;0),1*Uplift*AWE*(External),0),0)</f>
        <v>15481.186685962373</v>
      </c>
      <c r="FK35" s="200">
        <f t="shared" si="262"/>
        <v>1</v>
      </c>
      <c r="FL35" s="201">
        <f t="shared" si="263"/>
        <v>0</v>
      </c>
      <c r="FM35" s="203">
        <f t="shared" si="342"/>
        <v>0</v>
      </c>
      <c r="FN35" s="199">
        <f t="shared" ca="1" si="264"/>
        <v>3746.4471780028939</v>
      </c>
      <c r="FO35" s="200">
        <f t="shared" si="265"/>
        <v>0</v>
      </c>
      <c r="FP35" s="201">
        <f t="shared" ca="1" si="266"/>
        <v>0</v>
      </c>
      <c r="FQ35" s="200">
        <f t="shared" si="267"/>
        <v>0</v>
      </c>
      <c r="FR35" s="201" cm="1">
        <f t="array" ref="FR35">IF(LEFT($AG35,3)="Res",IF(OR($DS35&gt;External_Threshold,$DI35&gt;0),1*Uplift*AWE*(External),0),0)</f>
        <v>0</v>
      </c>
      <c r="FS35" s="200">
        <f t="shared" si="268"/>
        <v>1</v>
      </c>
      <c r="FT35" s="201">
        <f t="shared" si="269"/>
        <v>0</v>
      </c>
      <c r="FU35" s="203">
        <f t="shared" si="343"/>
        <v>0</v>
      </c>
      <c r="FV35" s="199">
        <f t="shared" ca="1" si="270"/>
        <v>0</v>
      </c>
      <c r="FW35" s="200">
        <f t="shared" si="271"/>
        <v>0</v>
      </c>
      <c r="FX35" s="201">
        <f t="shared" ca="1" si="272"/>
        <v>0</v>
      </c>
      <c r="FY35" s="200">
        <f t="shared" si="273"/>
        <v>0</v>
      </c>
      <c r="FZ35" s="201" cm="1">
        <f t="array" ref="FZ35">IF(LEFT($AG35,3)="Res",IF(OR($DT35&gt;External_Threshold,$DJ35&gt;0),1*Uplift*AWE*(External),0),0)</f>
        <v>0</v>
      </c>
      <c r="GA35" s="200">
        <f t="shared" si="274"/>
        <v>0</v>
      </c>
      <c r="GB35" s="201">
        <f t="shared" si="275"/>
        <v>0</v>
      </c>
      <c r="GC35" s="203">
        <f t="shared" si="344"/>
        <v>0</v>
      </c>
      <c r="GD35" s="199">
        <f t="shared" ca="1" si="276"/>
        <v>0</v>
      </c>
      <c r="GE35" s="200">
        <f t="shared" si="277"/>
        <v>0</v>
      </c>
      <c r="GF35" s="201">
        <f t="shared" ca="1" si="278"/>
        <v>0</v>
      </c>
      <c r="GG35" s="200">
        <f t="shared" si="279"/>
        <v>0</v>
      </c>
      <c r="GH35" s="201" cm="1">
        <f t="array" ref="GH35">IF(LEFT($AG35,3)="Res",IF(OR($DU35&gt;External_Threshold,$DK35&gt;0),1*Uplift*AWE*(External),0),0)</f>
        <v>0</v>
      </c>
      <c r="GI35" s="200">
        <f t="shared" si="280"/>
        <v>0</v>
      </c>
      <c r="GJ35" s="201">
        <f t="shared" si="281"/>
        <v>0</v>
      </c>
      <c r="GK35" s="203">
        <f t="shared" si="345"/>
        <v>0</v>
      </c>
      <c r="GL35" s="199">
        <f t="shared" ca="1" si="282"/>
        <v>0</v>
      </c>
      <c r="GM35" s="200">
        <f t="shared" si="283"/>
        <v>0</v>
      </c>
      <c r="GN35" s="201">
        <f t="shared" ca="1" si="284"/>
        <v>0</v>
      </c>
      <c r="GO35" s="200">
        <f t="shared" si="285"/>
        <v>0</v>
      </c>
      <c r="GP35" s="201" cm="1">
        <f t="array" ref="GP35">IF(LEFT($AG35,3)="Res",IF(OR($DV35&gt;External_Threshold,$DL35&gt;0),1*Uplift*AWE*(External),0),0)</f>
        <v>0</v>
      </c>
      <c r="GQ35" s="200">
        <f t="shared" si="286"/>
        <v>0</v>
      </c>
      <c r="GR35" s="201">
        <f t="shared" si="287"/>
        <v>0</v>
      </c>
      <c r="GS35" s="203">
        <f t="shared" si="346"/>
        <v>0</v>
      </c>
      <c r="GT35" s="199">
        <f t="shared" ca="1" si="288"/>
        <v>0</v>
      </c>
      <c r="GU35" s="200">
        <f t="shared" si="289"/>
        <v>0</v>
      </c>
      <c r="GV35" s="201">
        <f t="shared" ca="1" si="290"/>
        <v>0</v>
      </c>
      <c r="GW35" s="200">
        <f t="shared" si="291"/>
        <v>0</v>
      </c>
      <c r="GX35" s="201" cm="1">
        <f t="array" ref="GX35">IF(LEFT($AG35,3)="Res",IF(OR($DW35&gt;External_Threshold,$DM35&gt;0),1*Uplift*AWE*(External),0),0)</f>
        <v>0</v>
      </c>
      <c r="GY35" s="200">
        <f t="shared" si="292"/>
        <v>0</v>
      </c>
      <c r="GZ35" s="201">
        <f t="shared" si="293"/>
        <v>0</v>
      </c>
      <c r="HA35" s="203">
        <f t="shared" si="347"/>
        <v>0</v>
      </c>
      <c r="HB35" s="54"/>
      <c r="HC35" s="54"/>
      <c r="HD35" s="54"/>
      <c r="HE35" s="54"/>
      <c r="HF35" s="54"/>
      <c r="HG35" s="201">
        <f t="shared" ca="1" si="348"/>
        <v>328347.98725004145</v>
      </c>
      <c r="HH35" s="201">
        <f t="shared" ca="1" si="349"/>
        <v>279947.89176103909</v>
      </c>
      <c r="HI35" s="201">
        <f t="shared" ca="1" si="350"/>
        <v>257355.33839011381</v>
      </c>
      <c r="HJ35" s="201">
        <f t="shared" ca="1" si="351"/>
        <v>231028.26638053532</v>
      </c>
      <c r="HK35" s="201">
        <f t="shared" ca="1" si="352"/>
        <v>191073.7341558811</v>
      </c>
      <c r="HL35" s="201">
        <f t="shared" ca="1" si="353"/>
        <v>3746.4471780028939</v>
      </c>
      <c r="HM35" s="201">
        <f t="shared" ca="1" si="354"/>
        <v>0</v>
      </c>
      <c r="HN35" s="201">
        <f t="shared" ca="1" si="355"/>
        <v>0</v>
      </c>
      <c r="HO35" s="201">
        <f t="shared" ca="1" si="356"/>
        <v>0</v>
      </c>
      <c r="HP35" s="201">
        <f t="shared" ca="1" si="357"/>
        <v>0</v>
      </c>
      <c r="HQ35" s="54"/>
    </row>
    <row r="36" spans="1:225" x14ac:dyDescent="0.3">
      <c r="A36" s="513">
        <v>18</v>
      </c>
      <c r="B36" s="514" t="s">
        <v>441</v>
      </c>
      <c r="C36" s="514" t="s">
        <v>390</v>
      </c>
      <c r="D36" s="514" t="s">
        <v>390</v>
      </c>
      <c r="E36" s="513">
        <v>2</v>
      </c>
      <c r="F36" s="515">
        <v>6.01</v>
      </c>
      <c r="G36" s="515">
        <v>5.44</v>
      </c>
      <c r="H36" s="513">
        <v>1</v>
      </c>
      <c r="I36" s="517">
        <v>4</v>
      </c>
      <c r="J36" s="518" t="s">
        <v>256</v>
      </c>
      <c r="K36" s="513">
        <f t="shared" si="204"/>
        <v>100</v>
      </c>
      <c r="L36" s="519">
        <v>7.56</v>
      </c>
      <c r="M36" s="519">
        <v>6.55</v>
      </c>
      <c r="N36" s="519">
        <v>6.25</v>
      </c>
      <c r="O36" s="519">
        <v>5.95</v>
      </c>
      <c r="P36" s="519">
        <v>5.47</v>
      </c>
      <c r="Q36" s="519">
        <v>4.99</v>
      </c>
      <c r="R36" s="519">
        <v>4.1900000000000004</v>
      </c>
      <c r="S36" s="519">
        <v>0</v>
      </c>
      <c r="T36" s="519">
        <v>0</v>
      </c>
      <c r="U36" s="519">
        <v>0</v>
      </c>
      <c r="V36" s="536"/>
      <c r="W36" s="536"/>
      <c r="X36" s="536"/>
      <c r="Y36" s="536"/>
      <c r="Z36" s="536"/>
      <c r="AA36" s="536"/>
      <c r="AB36" s="536"/>
      <c r="AC36" s="536"/>
      <c r="AD36" s="536"/>
      <c r="AE36" s="536"/>
      <c r="AF36" s="54"/>
      <c r="AG36" s="204" t="str">
        <f t="shared" si="465"/>
        <v>Res2</v>
      </c>
      <c r="AH36" s="204">
        <f t="shared" si="294"/>
        <v>7</v>
      </c>
      <c r="AI36" s="204">
        <f t="shared" si="205"/>
        <v>1</v>
      </c>
      <c r="AJ36" s="54"/>
      <c r="AK36" s="74">
        <f>IFERROR(IF(H36&gt;4,0,AI36*Inputs!$C$55),0)</f>
        <v>2.6</v>
      </c>
      <c r="AL36" s="81">
        <f>IFERROR(Inputs!$C$73,0)</f>
        <v>5</v>
      </c>
      <c r="AM36" s="211">
        <f>IFERROR(Inputs!$C$74,0)</f>
        <v>0.24299999999999999</v>
      </c>
      <c r="AN36" s="446">
        <f>IFERROR(HLOOKUP(HLOOKUP(AN$17,$V$18:$AE36,COUNTA($AK$18:$AK36),FALSE),Inputs!$B$58:$H$59,2,FALSE),0)</f>
        <v>0</v>
      </c>
      <c r="AO36" s="447">
        <f t="shared" si="295"/>
        <v>0</v>
      </c>
      <c r="AP36" s="447">
        <f t="shared" si="296"/>
        <v>0</v>
      </c>
      <c r="AQ36" s="446">
        <f>IFERROR(HLOOKUP(HLOOKUP(AQ$17,$V$18:$AE36,COUNTA($AK$18:$AK36),FALSE),Inputs!$B$58:$H$59,2,FALSE),0)</f>
        <v>0</v>
      </c>
      <c r="AR36" s="447">
        <f t="shared" ref="AR36" si="549">2*$AK36*AQ36*$AL36/100*$AM36</f>
        <v>0</v>
      </c>
      <c r="AS36" s="447">
        <f t="shared" si="298"/>
        <v>0</v>
      </c>
      <c r="AT36" s="446">
        <f>IFERROR(HLOOKUP(HLOOKUP(AT$17,$V$18:$AE36,COUNTA($AK$18:$AK36),FALSE),Inputs!$B$58:$H$59,2,FALSE),0)</f>
        <v>0</v>
      </c>
      <c r="AU36" s="447">
        <f t="shared" ref="AU36" si="550">2*$AK36*AT36*$AL36/100*$AM36</f>
        <v>0</v>
      </c>
      <c r="AV36" s="447">
        <f t="shared" si="300"/>
        <v>0</v>
      </c>
      <c r="AW36" s="446">
        <f>IFERROR(HLOOKUP(HLOOKUP(AW$17,$V$18:$AE36,COUNTA($AK$18:$AK36),FALSE),Inputs!$B$58:$H$59,2,FALSE),0)</f>
        <v>0</v>
      </c>
      <c r="AX36" s="447">
        <f t="shared" ref="AX36" si="551">2*$AK36*AW36*$AL36/100*$AM36</f>
        <v>0</v>
      </c>
      <c r="AY36" s="447">
        <f t="shared" si="302"/>
        <v>0</v>
      </c>
      <c r="AZ36" s="446">
        <f>IFERROR(HLOOKUP(HLOOKUP(AZ$17,$V$18:$AE36,COUNTA($AK$18:$AK36),FALSE),Inputs!$B$58:$H$59,2,FALSE),0)</f>
        <v>0</v>
      </c>
      <c r="BA36" s="447">
        <f t="shared" ref="BA36" si="552">2*$AK36*AZ36*$AL36/100*$AM36</f>
        <v>0</v>
      </c>
      <c r="BB36" s="447">
        <f t="shared" si="304"/>
        <v>0</v>
      </c>
      <c r="BC36" s="446">
        <f>IFERROR(HLOOKUP(HLOOKUP(BC$17,$V$18:$AE36,COUNTA($AK$18:$AK36),FALSE),Inputs!$B$58:$H$59,2,FALSE),0)</f>
        <v>0</v>
      </c>
      <c r="BD36" s="447">
        <f t="shared" ref="BD36" si="553">2*$AK36*BC36*$AL36/100*$AM36</f>
        <v>0</v>
      </c>
      <c r="BE36" s="447">
        <f t="shared" si="306"/>
        <v>0</v>
      </c>
      <c r="BF36" s="446">
        <f>IFERROR(HLOOKUP(HLOOKUP(BF$17,$V$18:$AE36,COUNTA($AK$18:$AK36),FALSE),Inputs!$B$58:$H$59,2,FALSE),0)</f>
        <v>0</v>
      </c>
      <c r="BG36" s="447">
        <f t="shared" ref="BG36" si="554">2*$AK36*BF36*$AL36/100*$AM36</f>
        <v>0</v>
      </c>
      <c r="BH36" s="447">
        <f t="shared" si="308"/>
        <v>0</v>
      </c>
      <c r="BI36" s="446">
        <f>IFERROR(HLOOKUP(HLOOKUP(BI$17,$V$18:$AE36,COUNTA($AK$18:$AK36),FALSE),Inputs!$B$58:$H$59,2,FALSE),0)</f>
        <v>0</v>
      </c>
      <c r="BJ36" s="447">
        <f t="shared" ref="BJ36" si="555">2*$AK36*BI36*$AL36/100*$AM36</f>
        <v>0</v>
      </c>
      <c r="BK36" s="447">
        <f t="shared" si="310"/>
        <v>0</v>
      </c>
      <c r="BL36" s="446">
        <f>IFERROR(HLOOKUP(HLOOKUP(BL$17,$V$18:$AE36,COUNTA($AK$18:$AK36),FALSE),Inputs!$B$58:$H$59,2,FALSE),0)</f>
        <v>0</v>
      </c>
      <c r="BM36" s="447">
        <f t="shared" ref="BM36" si="556">2*$AK36*BL36*$AL36/100*$AM36</f>
        <v>0</v>
      </c>
      <c r="BN36" s="447">
        <f t="shared" si="312"/>
        <v>0</v>
      </c>
      <c r="BO36" s="446">
        <f>IFERROR(HLOOKUP(HLOOKUP(BO$17,$V$18:$AE36,COUNTA($AK$18:$AK36),FALSE),Inputs!$B$58:$H$59,2,FALSE),0)</f>
        <v>0</v>
      </c>
      <c r="BP36" s="447">
        <f t="shared" ref="BP36" si="557">2*$AK36*BO36*$AL36/100*$AM36</f>
        <v>0</v>
      </c>
      <c r="BQ36" s="447">
        <f t="shared" si="314"/>
        <v>0</v>
      </c>
      <c r="BR36" s="54"/>
      <c r="BS36" s="103">
        <f t="shared" ca="1" si="224"/>
        <v>451.32922049096533</v>
      </c>
      <c r="BT36" s="103">
        <f t="shared" ca="1" si="396"/>
        <v>273.42521439672237</v>
      </c>
      <c r="BU36" s="103">
        <f t="shared" si="397"/>
        <v>232.06298842257598</v>
      </c>
      <c r="BV36" s="103">
        <f t="shared" si="398"/>
        <v>0</v>
      </c>
      <c r="BW36" s="152">
        <f t="shared" ca="1" si="399"/>
        <v>956.81742331026362</v>
      </c>
      <c r="BX36" s="441"/>
      <c r="BY36" s="94" t="s">
        <v>92</v>
      </c>
      <c r="BZ36" s="356">
        <f>$DI$10</f>
        <v>4</v>
      </c>
      <c r="CA36" s="95">
        <f>$DI$8</f>
        <v>0.20000000000000018</v>
      </c>
      <c r="CB36" s="79">
        <f ca="1">$FN$12</f>
        <v>202098.25647077092</v>
      </c>
      <c r="CC36" s="79">
        <f ca="1">$FN$11</f>
        <v>50524.564117692731</v>
      </c>
      <c r="CD36" s="54"/>
      <c r="CE36" s="94" t="s">
        <v>92</v>
      </c>
      <c r="CF36" s="356">
        <f>$DI$10</f>
        <v>4</v>
      </c>
      <c r="CG36" s="95">
        <f>$DI$8</f>
        <v>0.20000000000000018</v>
      </c>
      <c r="CH36" s="79">
        <f ca="1">$FP$12</f>
        <v>0</v>
      </c>
      <c r="CI36" s="79">
        <f ca="1">$FP$11</f>
        <v>0</v>
      </c>
      <c r="CJ36" s="54"/>
      <c r="CK36" s="94" t="s">
        <v>92</v>
      </c>
      <c r="CL36" s="356">
        <f>$DS$10</f>
        <v>4</v>
      </c>
      <c r="CM36" s="95">
        <f>$DS$8</f>
        <v>1.8900000000000006</v>
      </c>
      <c r="CN36" s="79">
        <f>$FR$12</f>
        <v>0</v>
      </c>
      <c r="CO36" s="79">
        <f>$FR$11</f>
        <v>0</v>
      </c>
      <c r="CP36" s="54"/>
      <c r="CQ36" s="94" t="s">
        <v>92</v>
      </c>
      <c r="CR36" s="356">
        <f>$DI$10</f>
        <v>4</v>
      </c>
      <c r="CS36" s="95">
        <f>$DI$8</f>
        <v>0.20000000000000018</v>
      </c>
      <c r="CT36" s="79">
        <f>$FT$12</f>
        <v>0</v>
      </c>
      <c r="CU36" s="79" t="str">
        <f>$FT$11</f>
        <v>--</v>
      </c>
      <c r="CV36" s="54"/>
      <c r="CW36" s="94" t="s">
        <v>92</v>
      </c>
      <c r="CX36" s="356">
        <f>$DI$10</f>
        <v>4</v>
      </c>
      <c r="CY36" s="95">
        <f>$DI$8</f>
        <v>0.20000000000000018</v>
      </c>
      <c r="CZ36" s="79">
        <f ca="1">SUM(DetailedStructural[[#This Row],[Total Damages]],DetailedInternal[[#This Row],[Total Damages]],DetailedExternal[[#This Row],[Total Damages]],DetailedRiskToLife[[#This Row],[Total Damages]])</f>
        <v>202098.25647077092</v>
      </c>
      <c r="DA36" s="79">
        <f ca="1">SUM(DetailedStructural[[#This Row],[AAD per Property]],DetailedInternal[[#This Row],[AAD per Property]],DetailedExternal[[#This Row],[AAD per Property]],DetailedRiskToLife[[#This Row],[AAD per Property]])</f>
        <v>50524.564117692731</v>
      </c>
      <c r="DB36" s="54"/>
      <c r="DC36" s="54"/>
      <c r="DD36" s="188">
        <f t="shared" si="315"/>
        <v>1.5499999999999998</v>
      </c>
      <c r="DE36" s="188">
        <f t="shared" si="316"/>
        <v>0.54</v>
      </c>
      <c r="DF36" s="188">
        <f t="shared" si="317"/>
        <v>0.24000000000000021</v>
      </c>
      <c r="DG36" s="188">
        <f t="shared" si="318"/>
        <v>-5.9999999999999609E-2</v>
      </c>
      <c r="DH36" s="188">
        <f t="shared" si="319"/>
        <v>-0.3</v>
      </c>
      <c r="DI36" s="188">
        <f t="shared" si="320"/>
        <v>-0.3</v>
      </c>
      <c r="DJ36" s="188">
        <f t="shared" si="321"/>
        <v>-0.3</v>
      </c>
      <c r="DK36" s="188">
        <f t="shared" si="322"/>
        <v>-0.3</v>
      </c>
      <c r="DL36" s="188">
        <f t="shared" si="323"/>
        <v>-0.3</v>
      </c>
      <c r="DM36" s="188">
        <f t="shared" si="324"/>
        <v>-0.3</v>
      </c>
      <c r="DN36" s="189">
        <f t="shared" si="325"/>
        <v>2.1199999999999992</v>
      </c>
      <c r="DO36" s="189">
        <f t="shared" si="326"/>
        <v>1.1099999999999994</v>
      </c>
      <c r="DP36" s="189">
        <f t="shared" si="327"/>
        <v>0.80999999999999961</v>
      </c>
      <c r="DQ36" s="189">
        <f t="shared" si="328"/>
        <v>0.50999999999999979</v>
      </c>
      <c r="DR36" s="189">
        <f t="shared" si="329"/>
        <v>2.9999999999999361E-2</v>
      </c>
      <c r="DS36" s="189">
        <f t="shared" si="330"/>
        <v>0</v>
      </c>
      <c r="DT36" s="189">
        <f t="shared" si="331"/>
        <v>0</v>
      </c>
      <c r="DU36" s="189">
        <f t="shared" si="332"/>
        <v>0</v>
      </c>
      <c r="DV36" s="189">
        <f t="shared" si="333"/>
        <v>0</v>
      </c>
      <c r="DW36" s="189">
        <f t="shared" si="334"/>
        <v>0</v>
      </c>
      <c r="DX36" s="54"/>
      <c r="DY36" s="54"/>
      <c r="DZ36" s="199">
        <f t="shared" ca="1" si="237"/>
        <v>74843.607818781165</v>
      </c>
      <c r="EA36" s="200">
        <f t="shared" si="335"/>
        <v>1</v>
      </c>
      <c r="EB36" s="201">
        <f t="shared" ca="1" si="238"/>
        <v>58175.225430649291</v>
      </c>
      <c r="EC36" s="200">
        <f t="shared" si="336"/>
        <v>1</v>
      </c>
      <c r="ED36" s="201" cm="1">
        <f t="array" ref="ED36">IF(LEFT($AG36,3)="Res",IF(OR($DN36&gt;External_Threshold,$DD36&gt;0),1*Uplift*AWE*(External),0),0)</f>
        <v>15481.186685962373</v>
      </c>
      <c r="EE36" s="200">
        <f t="shared" si="337"/>
        <v>1</v>
      </c>
      <c r="EF36" s="201">
        <f t="shared" si="239"/>
        <v>0</v>
      </c>
      <c r="EG36" s="203">
        <f t="shared" si="338"/>
        <v>0</v>
      </c>
      <c r="EH36" s="199">
        <f t="shared" ca="1" si="240"/>
        <v>55463.028431017861</v>
      </c>
      <c r="EI36" s="200">
        <f t="shared" si="241"/>
        <v>1</v>
      </c>
      <c r="EJ36" s="201">
        <f t="shared" ca="1" si="242"/>
        <v>40882.653427845195</v>
      </c>
      <c r="EK36" s="200">
        <f t="shared" si="243"/>
        <v>1</v>
      </c>
      <c r="EL36" s="201" cm="1">
        <f t="array" ref="EL36">IF(LEFT($AG36,3)="Res",IF(OR($DO36&gt;External_Threshold,$DE36&gt;0),1*Uplift*AWE*(External),0),0)</f>
        <v>15481.186685962373</v>
      </c>
      <c r="EM36" s="200">
        <f t="shared" si="244"/>
        <v>1</v>
      </c>
      <c r="EN36" s="201">
        <f t="shared" si="245"/>
        <v>0</v>
      </c>
      <c r="EO36" s="203">
        <f t="shared" si="339"/>
        <v>0</v>
      </c>
      <c r="EP36" s="199">
        <f t="shared" ca="1" si="246"/>
        <v>53717.288114045674</v>
      </c>
      <c r="EQ36" s="200">
        <f t="shared" si="247"/>
        <v>1</v>
      </c>
      <c r="ER36" s="201">
        <f t="shared" ca="1" si="248"/>
        <v>28384.661197688143</v>
      </c>
      <c r="ES36" s="200">
        <f t="shared" si="249"/>
        <v>1</v>
      </c>
      <c r="ET36" s="201" cm="1">
        <f t="array" ref="ET36">IF(LEFT($AG36,3)="Res",IF(OR($DP36&gt;External_Threshold,$DF36&gt;0),1*Uplift*AWE*(External),0),0)</f>
        <v>15481.186685962373</v>
      </c>
      <c r="EU36" s="200">
        <f t="shared" si="250"/>
        <v>1</v>
      </c>
      <c r="EV36" s="201">
        <f t="shared" si="251"/>
        <v>0</v>
      </c>
      <c r="EW36" s="203">
        <f t="shared" si="340"/>
        <v>0</v>
      </c>
      <c r="EX36" s="199">
        <f t="shared" ca="1" si="252"/>
        <v>3148.0563092940993</v>
      </c>
      <c r="EY36" s="200">
        <f t="shared" si="253"/>
        <v>0</v>
      </c>
      <c r="EZ36" s="201">
        <f t="shared" ca="1" si="254"/>
        <v>0</v>
      </c>
      <c r="FA36" s="200">
        <f t="shared" si="255"/>
        <v>0</v>
      </c>
      <c r="FB36" s="201" cm="1">
        <f t="array" ref="FB36">IF(LEFT($AG36,3)="Res",IF(OR($DQ36&gt;External_Threshold,$DG36&gt;0),1*Uplift*AWE*(External),0),0)</f>
        <v>15481.186685962373</v>
      </c>
      <c r="FC36" s="200">
        <f t="shared" si="256"/>
        <v>1</v>
      </c>
      <c r="FD36" s="201">
        <f t="shared" si="257"/>
        <v>0</v>
      </c>
      <c r="FE36" s="203">
        <f t="shared" si="341"/>
        <v>0</v>
      </c>
      <c r="FF36" s="199">
        <f t="shared" ca="1" si="258"/>
        <v>0</v>
      </c>
      <c r="FG36" s="200">
        <f t="shared" si="259"/>
        <v>0</v>
      </c>
      <c r="FH36" s="201">
        <f t="shared" ca="1" si="260"/>
        <v>0</v>
      </c>
      <c r="FI36" s="200">
        <f t="shared" si="261"/>
        <v>0</v>
      </c>
      <c r="FJ36" s="201" cm="1">
        <f t="array" ref="FJ36">IF(LEFT($AG36,3)="Res",IF(OR($DR36&gt;External_Threshold,$DH36&gt;0),1*Uplift*AWE*(External),0),0)</f>
        <v>0</v>
      </c>
      <c r="FK36" s="200">
        <f t="shared" si="262"/>
        <v>1</v>
      </c>
      <c r="FL36" s="201">
        <f t="shared" si="263"/>
        <v>0</v>
      </c>
      <c r="FM36" s="203">
        <f t="shared" si="342"/>
        <v>0</v>
      </c>
      <c r="FN36" s="199">
        <f t="shared" ca="1" si="264"/>
        <v>0</v>
      </c>
      <c r="FO36" s="200">
        <f t="shared" si="265"/>
        <v>0</v>
      </c>
      <c r="FP36" s="201">
        <f t="shared" ca="1" si="266"/>
        <v>0</v>
      </c>
      <c r="FQ36" s="200">
        <f t="shared" si="267"/>
        <v>0</v>
      </c>
      <c r="FR36" s="201" cm="1">
        <f t="array" ref="FR36">IF(LEFT($AG36,3)="Res",IF(OR($DS36&gt;External_Threshold,$DI36&gt;0),1*Uplift*AWE*(External),0),0)</f>
        <v>0</v>
      </c>
      <c r="FS36" s="200">
        <f t="shared" si="268"/>
        <v>0</v>
      </c>
      <c r="FT36" s="201">
        <f t="shared" si="269"/>
        <v>0</v>
      </c>
      <c r="FU36" s="203">
        <f t="shared" si="343"/>
        <v>0</v>
      </c>
      <c r="FV36" s="199">
        <f t="shared" ca="1" si="270"/>
        <v>0</v>
      </c>
      <c r="FW36" s="200">
        <f t="shared" si="271"/>
        <v>0</v>
      </c>
      <c r="FX36" s="201">
        <f t="shared" ca="1" si="272"/>
        <v>0</v>
      </c>
      <c r="FY36" s="200">
        <f t="shared" si="273"/>
        <v>0</v>
      </c>
      <c r="FZ36" s="201" cm="1">
        <f t="array" ref="FZ36">IF(LEFT($AG36,3)="Res",IF(OR($DT36&gt;External_Threshold,$DJ36&gt;0),1*Uplift*AWE*(External),0),0)</f>
        <v>0</v>
      </c>
      <c r="GA36" s="200">
        <f t="shared" si="274"/>
        <v>0</v>
      </c>
      <c r="GB36" s="201">
        <f t="shared" si="275"/>
        <v>0</v>
      </c>
      <c r="GC36" s="203">
        <f t="shared" si="344"/>
        <v>0</v>
      </c>
      <c r="GD36" s="199">
        <f t="shared" ca="1" si="276"/>
        <v>0</v>
      </c>
      <c r="GE36" s="200">
        <f t="shared" si="277"/>
        <v>0</v>
      </c>
      <c r="GF36" s="201">
        <f t="shared" ca="1" si="278"/>
        <v>0</v>
      </c>
      <c r="GG36" s="200">
        <f t="shared" si="279"/>
        <v>0</v>
      </c>
      <c r="GH36" s="201" cm="1">
        <f t="array" ref="GH36">IF(LEFT($AG36,3)="Res",IF(OR($DU36&gt;External_Threshold,$DK36&gt;0),1*Uplift*AWE*(External),0),0)</f>
        <v>0</v>
      </c>
      <c r="GI36" s="200">
        <f t="shared" si="280"/>
        <v>0</v>
      </c>
      <c r="GJ36" s="201">
        <f t="shared" si="281"/>
        <v>0</v>
      </c>
      <c r="GK36" s="203">
        <f t="shared" si="345"/>
        <v>0</v>
      </c>
      <c r="GL36" s="199">
        <f t="shared" ca="1" si="282"/>
        <v>0</v>
      </c>
      <c r="GM36" s="200">
        <f t="shared" si="283"/>
        <v>0</v>
      </c>
      <c r="GN36" s="201">
        <f t="shared" ca="1" si="284"/>
        <v>0</v>
      </c>
      <c r="GO36" s="200">
        <f t="shared" si="285"/>
        <v>0</v>
      </c>
      <c r="GP36" s="201" cm="1">
        <f t="array" ref="GP36">IF(LEFT($AG36,3)="Res",IF(OR($DV36&gt;External_Threshold,$DL36&gt;0),1*Uplift*AWE*(External),0),0)</f>
        <v>0</v>
      </c>
      <c r="GQ36" s="200">
        <f t="shared" si="286"/>
        <v>0</v>
      </c>
      <c r="GR36" s="201">
        <f t="shared" si="287"/>
        <v>0</v>
      </c>
      <c r="GS36" s="203">
        <f t="shared" si="346"/>
        <v>0</v>
      </c>
      <c r="GT36" s="199">
        <f t="shared" ca="1" si="288"/>
        <v>0</v>
      </c>
      <c r="GU36" s="200">
        <f t="shared" si="289"/>
        <v>0</v>
      </c>
      <c r="GV36" s="201">
        <f t="shared" ca="1" si="290"/>
        <v>0</v>
      </c>
      <c r="GW36" s="200">
        <f t="shared" si="291"/>
        <v>0</v>
      </c>
      <c r="GX36" s="201" cm="1">
        <f t="array" ref="GX36">IF(LEFT($AG36,3)="Res",IF(OR($DW36&gt;External_Threshold,$DM36&gt;0),1*Uplift*AWE*(External),0),0)</f>
        <v>0</v>
      </c>
      <c r="GY36" s="200">
        <f t="shared" si="292"/>
        <v>0</v>
      </c>
      <c r="GZ36" s="201">
        <f t="shared" si="293"/>
        <v>0</v>
      </c>
      <c r="HA36" s="203">
        <f t="shared" si="347"/>
        <v>0</v>
      </c>
      <c r="HB36" s="54"/>
      <c r="HC36" s="54"/>
      <c r="HD36" s="54"/>
      <c r="HE36" s="54"/>
      <c r="HF36" s="54"/>
      <c r="HG36" s="201">
        <f t="shared" ca="1" si="348"/>
        <v>148500.01993539283</v>
      </c>
      <c r="HH36" s="201">
        <f t="shared" ca="1" si="349"/>
        <v>111826.86854482543</v>
      </c>
      <c r="HI36" s="201">
        <f t="shared" ca="1" si="350"/>
        <v>97583.135997696183</v>
      </c>
      <c r="HJ36" s="201">
        <f t="shared" ca="1" si="351"/>
        <v>18629.242995256471</v>
      </c>
      <c r="HK36" s="201">
        <f t="shared" ca="1" si="352"/>
        <v>0</v>
      </c>
      <c r="HL36" s="201">
        <f t="shared" ca="1" si="353"/>
        <v>0</v>
      </c>
      <c r="HM36" s="201">
        <f t="shared" ca="1" si="354"/>
        <v>0</v>
      </c>
      <c r="HN36" s="201">
        <f t="shared" ca="1" si="355"/>
        <v>0</v>
      </c>
      <c r="HO36" s="201">
        <f t="shared" ca="1" si="356"/>
        <v>0</v>
      </c>
      <c r="HP36" s="201">
        <f t="shared" ca="1" si="357"/>
        <v>0</v>
      </c>
      <c r="HQ36" s="54"/>
    </row>
    <row r="37" spans="1:225" x14ac:dyDescent="0.3">
      <c r="A37" s="513">
        <v>19</v>
      </c>
      <c r="B37" s="514" t="s">
        <v>442</v>
      </c>
      <c r="C37" s="514" t="s">
        <v>390</v>
      </c>
      <c r="D37" s="514" t="s">
        <v>390</v>
      </c>
      <c r="E37" s="513">
        <v>2</v>
      </c>
      <c r="F37" s="515">
        <v>4.6500000000000004</v>
      </c>
      <c r="G37" s="515">
        <v>4.63</v>
      </c>
      <c r="H37" s="513">
        <v>1</v>
      </c>
      <c r="I37" s="517">
        <v>6</v>
      </c>
      <c r="J37" s="518" t="s">
        <v>256</v>
      </c>
      <c r="K37" s="513">
        <f t="shared" si="204"/>
        <v>100</v>
      </c>
      <c r="L37" s="519">
        <v>7.56</v>
      </c>
      <c r="M37" s="519">
        <v>6.55</v>
      </c>
      <c r="N37" s="519">
        <v>6.25</v>
      </c>
      <c r="O37" s="519">
        <v>5.95</v>
      </c>
      <c r="P37" s="519">
        <v>5.47</v>
      </c>
      <c r="Q37" s="519">
        <v>4.99</v>
      </c>
      <c r="R37" s="519">
        <v>4.1900000000000004</v>
      </c>
      <c r="S37" s="519">
        <v>0</v>
      </c>
      <c r="T37" s="519">
        <v>0</v>
      </c>
      <c r="U37" s="519">
        <v>0</v>
      </c>
      <c r="V37" s="536"/>
      <c r="W37" s="536"/>
      <c r="X37" s="536"/>
      <c r="Y37" s="536"/>
      <c r="Z37" s="536"/>
      <c r="AA37" s="536"/>
      <c r="AB37" s="536"/>
      <c r="AC37" s="536"/>
      <c r="AD37" s="536"/>
      <c r="AE37" s="536"/>
      <c r="AF37" s="54"/>
      <c r="AG37" s="204" t="str">
        <f t="shared" si="465"/>
        <v>Res2</v>
      </c>
      <c r="AH37" s="204">
        <f t="shared" si="294"/>
        <v>7</v>
      </c>
      <c r="AI37" s="204">
        <f t="shared" si="205"/>
        <v>1</v>
      </c>
      <c r="AJ37" s="54"/>
      <c r="AK37" s="74">
        <f>IFERROR(IF(H37&gt;4,0,AI37*Inputs!$C$55),0)</f>
        <v>2.6</v>
      </c>
      <c r="AL37" s="81">
        <f>IFERROR(Inputs!$C$73,0)</f>
        <v>5</v>
      </c>
      <c r="AM37" s="211">
        <f>IFERROR(Inputs!$C$74,0)</f>
        <v>0.24299999999999999</v>
      </c>
      <c r="AN37" s="446">
        <f>IFERROR(HLOOKUP(HLOOKUP(AN$17,$V$18:$AE37,COUNTA($AK$18:$AK37),FALSE),Inputs!$B$58:$H$59,2,FALSE),0)</f>
        <v>0</v>
      </c>
      <c r="AO37" s="447">
        <f t="shared" si="295"/>
        <v>0</v>
      </c>
      <c r="AP37" s="447">
        <f t="shared" si="296"/>
        <v>0</v>
      </c>
      <c r="AQ37" s="446">
        <f>IFERROR(HLOOKUP(HLOOKUP(AQ$17,$V$18:$AE37,COUNTA($AK$18:$AK37),FALSE),Inputs!$B$58:$H$59,2,FALSE),0)</f>
        <v>0</v>
      </c>
      <c r="AR37" s="447">
        <f t="shared" ref="AR37" si="558">2*$AK37*AQ37*$AL37/100*$AM37</f>
        <v>0</v>
      </c>
      <c r="AS37" s="447">
        <f t="shared" si="298"/>
        <v>0</v>
      </c>
      <c r="AT37" s="446">
        <f>IFERROR(HLOOKUP(HLOOKUP(AT$17,$V$18:$AE37,COUNTA($AK$18:$AK37),FALSE),Inputs!$B$58:$H$59,2,FALSE),0)</f>
        <v>0</v>
      </c>
      <c r="AU37" s="447">
        <f t="shared" ref="AU37" si="559">2*$AK37*AT37*$AL37/100*$AM37</f>
        <v>0</v>
      </c>
      <c r="AV37" s="447">
        <f t="shared" si="300"/>
        <v>0</v>
      </c>
      <c r="AW37" s="446">
        <f>IFERROR(HLOOKUP(HLOOKUP(AW$17,$V$18:$AE37,COUNTA($AK$18:$AK37),FALSE),Inputs!$B$58:$H$59,2,FALSE),0)</f>
        <v>0</v>
      </c>
      <c r="AX37" s="447">
        <f t="shared" ref="AX37" si="560">2*$AK37*AW37*$AL37/100*$AM37</f>
        <v>0</v>
      </c>
      <c r="AY37" s="447">
        <f t="shared" si="302"/>
        <v>0</v>
      </c>
      <c r="AZ37" s="446">
        <f>IFERROR(HLOOKUP(HLOOKUP(AZ$17,$V$18:$AE37,COUNTA($AK$18:$AK37),FALSE),Inputs!$B$58:$H$59,2,FALSE),0)</f>
        <v>0</v>
      </c>
      <c r="BA37" s="447">
        <f t="shared" ref="BA37" si="561">2*$AK37*AZ37*$AL37/100*$AM37</f>
        <v>0</v>
      </c>
      <c r="BB37" s="447">
        <f t="shared" si="304"/>
        <v>0</v>
      </c>
      <c r="BC37" s="446">
        <f>IFERROR(HLOOKUP(HLOOKUP(BC$17,$V$18:$AE37,COUNTA($AK$18:$AK37),FALSE),Inputs!$B$58:$H$59,2,FALSE),0)</f>
        <v>0</v>
      </c>
      <c r="BD37" s="447">
        <f t="shared" ref="BD37" si="562">2*$AK37*BC37*$AL37/100*$AM37</f>
        <v>0</v>
      </c>
      <c r="BE37" s="447">
        <f t="shared" si="306"/>
        <v>0</v>
      </c>
      <c r="BF37" s="446">
        <f>IFERROR(HLOOKUP(HLOOKUP(BF$17,$V$18:$AE37,COUNTA($AK$18:$AK37),FALSE),Inputs!$B$58:$H$59,2,FALSE),0)</f>
        <v>0</v>
      </c>
      <c r="BG37" s="447">
        <f t="shared" ref="BG37" si="563">2*$AK37*BF37*$AL37/100*$AM37</f>
        <v>0</v>
      </c>
      <c r="BH37" s="447">
        <f t="shared" si="308"/>
        <v>0</v>
      </c>
      <c r="BI37" s="446">
        <f>IFERROR(HLOOKUP(HLOOKUP(BI$17,$V$18:$AE37,COUNTA($AK$18:$AK37),FALSE),Inputs!$B$58:$H$59,2,FALSE),0)</f>
        <v>0</v>
      </c>
      <c r="BJ37" s="447">
        <f t="shared" ref="BJ37" si="564">2*$AK37*BI37*$AL37/100*$AM37</f>
        <v>0</v>
      </c>
      <c r="BK37" s="447">
        <f t="shared" si="310"/>
        <v>0</v>
      </c>
      <c r="BL37" s="446">
        <f>IFERROR(HLOOKUP(HLOOKUP(BL$17,$V$18:$AE37,COUNTA($AK$18:$AK37),FALSE),Inputs!$B$58:$H$59,2,FALSE),0)</f>
        <v>0</v>
      </c>
      <c r="BM37" s="447">
        <f t="shared" ref="BM37" si="565">2*$AK37*BL37*$AL37/100*$AM37</f>
        <v>0</v>
      </c>
      <c r="BN37" s="447">
        <f t="shared" si="312"/>
        <v>0</v>
      </c>
      <c r="BO37" s="446">
        <f>IFERROR(HLOOKUP(HLOOKUP(BO$17,$V$18:$AE37,COUNTA($AK$18:$AK37),FALSE),Inputs!$B$58:$H$59,2,FALSE),0)</f>
        <v>0</v>
      </c>
      <c r="BP37" s="447">
        <f t="shared" ref="BP37" si="566">2*$AK37*BO37*$AL37/100*$AM37</f>
        <v>0</v>
      </c>
      <c r="BQ37" s="447">
        <f t="shared" si="314"/>
        <v>0</v>
      </c>
      <c r="BR37" s="54"/>
      <c r="BS37" s="103">
        <f t="shared" ca="1" si="224"/>
        <v>4514.6923181297916</v>
      </c>
      <c r="BT37" s="103">
        <f t="shared" ca="1" si="396"/>
        <v>3135.9790107308349</v>
      </c>
      <c r="BU37" s="103">
        <f t="shared" si="397"/>
        <v>1160.9341895803186</v>
      </c>
      <c r="BV37" s="103">
        <f t="shared" si="398"/>
        <v>0</v>
      </c>
      <c r="BW37" s="152">
        <f t="shared" ca="1" si="399"/>
        <v>8811.6055184409452</v>
      </c>
      <c r="BX37" s="441"/>
      <c r="BY37" s="96" t="str">
        <f>TEXT($R$10,"0%")&amp;" AEP"</f>
        <v>10% AEP</v>
      </c>
      <c r="BZ37" s="355">
        <f t="shared" ref="BZ37" si="567">SUM(BZ38:BZ39)</f>
        <v>4</v>
      </c>
      <c r="CA37" s="92">
        <f t="shared" ref="CA37" si="568">MAX(CA38:CA39)</f>
        <v>0.60000000000000053</v>
      </c>
      <c r="CB37" s="93">
        <f ca="1">$FV$15</f>
        <v>365705.27856166585</v>
      </c>
      <c r="CC37" s="93">
        <f ca="1">$FV$14</f>
        <v>91426.319640416463</v>
      </c>
      <c r="CD37" s="54"/>
      <c r="CE37" s="96" t="str">
        <f>TEXT($R$10,"0%")&amp;" AEP"</f>
        <v>10% AEP</v>
      </c>
      <c r="CF37" s="355">
        <f t="shared" ref="CF37" si="569">SUM(CF38:CF39)</f>
        <v>4</v>
      </c>
      <c r="CG37" s="92">
        <f t="shared" ref="CG37" si="570">MAX(CG38:CG39)</f>
        <v>0.60000000000000053</v>
      </c>
      <c r="CH37" s="93">
        <f ca="1">$FX$15</f>
        <v>199255.78968685228</v>
      </c>
      <c r="CI37" s="93">
        <f ca="1">$FX$14</f>
        <v>49813.94742171307</v>
      </c>
      <c r="CJ37" s="54"/>
      <c r="CK37" s="96" t="str">
        <f>TEXT($R$10,"0%")&amp;" AEP"</f>
        <v>10% AEP</v>
      </c>
      <c r="CL37" s="355">
        <f t="shared" ref="CL37" si="571">SUM(CL38:CL39)</f>
        <v>11</v>
      </c>
      <c r="CM37" s="92">
        <f t="shared" ref="CM37" si="572">MAX(CM38:CM39)</f>
        <v>1.0900000000000007</v>
      </c>
      <c r="CN37" s="93">
        <f>$FZ$15</f>
        <v>119205.13748191026</v>
      </c>
      <c r="CO37" s="93">
        <f>$FZ$14</f>
        <v>10836.83068017366</v>
      </c>
      <c r="CP37" s="54"/>
      <c r="CQ37" s="96" t="str">
        <f>TEXT($R$10,"0%")&amp;" AEP"</f>
        <v>10% AEP</v>
      </c>
      <c r="CR37" s="355">
        <f t="shared" ref="CR37" si="573">SUM(CR38:CR39)</f>
        <v>4</v>
      </c>
      <c r="CS37" s="92">
        <f t="shared" ref="CS37" si="574">MAX(CS38:CS39)</f>
        <v>0.60000000000000053</v>
      </c>
      <c r="CT37" s="93">
        <f>$GB$15</f>
        <v>0</v>
      </c>
      <c r="CU37" s="93" t="str">
        <f>$GB$14</f>
        <v>--</v>
      </c>
      <c r="CV37" s="54"/>
      <c r="CW37" s="96" t="str">
        <f>TEXT($R$10,"0%")&amp;" AEP"</f>
        <v>10% AEP</v>
      </c>
      <c r="CX37" s="355">
        <f t="shared" ref="CX37" si="575">SUM(CX38:CX39)</f>
        <v>4</v>
      </c>
      <c r="CY37" s="92">
        <f t="shared" ref="CY37" si="576">MAX(CY38:CY39)</f>
        <v>0.60000000000000053</v>
      </c>
      <c r="CZ37" s="93">
        <f ca="1">SUM(DetailedStructural[[#This Row],[Total Damages]],DetailedInternal[[#This Row],[Total Damages]],DetailedExternal[[#This Row],[Total Damages]],DetailedRiskToLife[[#This Row],[Total Damages]])</f>
        <v>684166.20573042845</v>
      </c>
      <c r="DA37" s="93">
        <f ca="1">SUM(DetailedStructural[[#This Row],[AAD per Property]],DetailedInternal[[#This Row],[AAD per Property]],DetailedExternal[[#This Row],[AAD per Property]],DetailedRiskToLife[[#This Row],[AAD per Property]])</f>
        <v>152077.09774230319</v>
      </c>
      <c r="DB37" s="54"/>
      <c r="DC37" s="54"/>
      <c r="DD37" s="188">
        <f t="shared" si="315"/>
        <v>2.9099999999999993</v>
      </c>
      <c r="DE37" s="188">
        <f t="shared" si="316"/>
        <v>1.8999999999999995</v>
      </c>
      <c r="DF37" s="188">
        <f t="shared" si="317"/>
        <v>1.5999999999999996</v>
      </c>
      <c r="DG37" s="188">
        <f t="shared" si="318"/>
        <v>1.2999999999999998</v>
      </c>
      <c r="DH37" s="188">
        <f t="shared" si="319"/>
        <v>0.8199999999999994</v>
      </c>
      <c r="DI37" s="188">
        <f t="shared" si="320"/>
        <v>0.33999999999999986</v>
      </c>
      <c r="DJ37" s="188">
        <f t="shared" si="321"/>
        <v>-0.3</v>
      </c>
      <c r="DK37" s="188">
        <f t="shared" si="322"/>
        <v>-0.3</v>
      </c>
      <c r="DL37" s="188">
        <f t="shared" si="323"/>
        <v>-0.3</v>
      </c>
      <c r="DM37" s="188">
        <f t="shared" si="324"/>
        <v>-0.3</v>
      </c>
      <c r="DN37" s="189">
        <f t="shared" si="325"/>
        <v>2.9299999999999997</v>
      </c>
      <c r="DO37" s="189">
        <f t="shared" si="326"/>
        <v>1.92</v>
      </c>
      <c r="DP37" s="189">
        <f t="shared" si="327"/>
        <v>1.62</v>
      </c>
      <c r="DQ37" s="189">
        <f t="shared" si="328"/>
        <v>1.3200000000000003</v>
      </c>
      <c r="DR37" s="189">
        <f t="shared" si="329"/>
        <v>0.83999999999999986</v>
      </c>
      <c r="DS37" s="189">
        <f t="shared" si="330"/>
        <v>0.36000000000000032</v>
      </c>
      <c r="DT37" s="189">
        <f t="shared" si="331"/>
        <v>0</v>
      </c>
      <c r="DU37" s="189">
        <f t="shared" si="332"/>
        <v>0</v>
      </c>
      <c r="DV37" s="189">
        <f t="shared" si="333"/>
        <v>0</v>
      </c>
      <c r="DW37" s="189">
        <f t="shared" si="334"/>
        <v>0</v>
      </c>
      <c r="DX37" s="54"/>
      <c r="DY37" s="54"/>
      <c r="DZ37" s="199">
        <f t="shared" ca="1" si="237"/>
        <v>148101.91345205548</v>
      </c>
      <c r="EA37" s="200">
        <f t="shared" si="335"/>
        <v>1</v>
      </c>
      <c r="EB37" s="201">
        <f t="shared" ca="1" si="238"/>
        <v>72173.206726783072</v>
      </c>
      <c r="EC37" s="200">
        <f t="shared" si="336"/>
        <v>1</v>
      </c>
      <c r="ED37" s="201" cm="1">
        <f t="array" ref="ED37">IF(LEFT($AG37,3)="Res",IF(OR($DN37&gt;External_Threshold,$DD37&gt;0),1*Uplift*AWE*(External),0),0)</f>
        <v>15481.186685962373</v>
      </c>
      <c r="EE37" s="200">
        <f t="shared" si="337"/>
        <v>1</v>
      </c>
      <c r="EF37" s="201">
        <f t="shared" si="239"/>
        <v>0</v>
      </c>
      <c r="EG37" s="203">
        <f t="shared" si="338"/>
        <v>0</v>
      </c>
      <c r="EH37" s="199">
        <f t="shared" ca="1" si="240"/>
        <v>77087.313406496236</v>
      </c>
      <c r="EI37" s="200">
        <f t="shared" si="241"/>
        <v>1</v>
      </c>
      <c r="EJ37" s="201">
        <f t="shared" ca="1" si="242"/>
        <v>59706.254634913923</v>
      </c>
      <c r="EK37" s="200">
        <f t="shared" si="243"/>
        <v>1</v>
      </c>
      <c r="EL37" s="201" cm="1">
        <f t="array" ref="EL37">IF(LEFT($AG37,3)="Res",IF(OR($DO37&gt;External_Threshold,$DE37&gt;0),1*Uplift*AWE*(External),0),0)</f>
        <v>15481.186685962373</v>
      </c>
      <c r="EM37" s="200">
        <f t="shared" si="244"/>
        <v>1</v>
      </c>
      <c r="EN37" s="201">
        <f t="shared" si="245"/>
        <v>0</v>
      </c>
      <c r="EO37" s="203">
        <f t="shared" si="339"/>
        <v>0</v>
      </c>
      <c r="EP37" s="199">
        <f t="shared" ca="1" si="246"/>
        <v>75164.137188454741</v>
      </c>
      <c r="EQ37" s="200">
        <f t="shared" si="247"/>
        <v>1</v>
      </c>
      <c r="ER37" s="201">
        <f t="shared" ca="1" si="248"/>
        <v>58393.943888401387</v>
      </c>
      <c r="ES37" s="200">
        <f t="shared" si="249"/>
        <v>1</v>
      </c>
      <c r="ET37" s="201" cm="1">
        <f t="array" ref="ET37">IF(LEFT($AG37,3)="Res",IF(OR($DP37&gt;External_Threshold,$DF37&gt;0),1*Uplift*AWE*(External),0),0)</f>
        <v>15481.186685962373</v>
      </c>
      <c r="EU37" s="200">
        <f t="shared" si="250"/>
        <v>1</v>
      </c>
      <c r="EV37" s="201">
        <f t="shared" si="251"/>
        <v>0</v>
      </c>
      <c r="EW37" s="203">
        <f t="shared" si="340"/>
        <v>0</v>
      </c>
      <c r="EX37" s="199">
        <f t="shared" ca="1" si="252"/>
        <v>68753.549794983133</v>
      </c>
      <c r="EY37" s="200">
        <f t="shared" si="253"/>
        <v>1</v>
      </c>
      <c r="EZ37" s="201">
        <f t="shared" ca="1" si="254"/>
        <v>57081.633141888829</v>
      </c>
      <c r="FA37" s="200">
        <f t="shared" si="255"/>
        <v>1</v>
      </c>
      <c r="FB37" s="201" cm="1">
        <f t="array" ref="FB37">IF(LEFT($AG37,3)="Res",IF(OR($DQ37&gt;External_Threshold,$DG37&gt;0),1*Uplift*AWE*(External),0),0)</f>
        <v>15481.186685962373</v>
      </c>
      <c r="FC37" s="200">
        <f t="shared" si="256"/>
        <v>1</v>
      </c>
      <c r="FD37" s="201">
        <f t="shared" si="257"/>
        <v>0</v>
      </c>
      <c r="FE37" s="203">
        <f t="shared" si="341"/>
        <v>0</v>
      </c>
      <c r="FF37" s="199">
        <f t="shared" ca="1" si="258"/>
        <v>58038.710865894856</v>
      </c>
      <c r="FG37" s="200">
        <f t="shared" si="259"/>
        <v>1</v>
      </c>
      <c r="FH37" s="201">
        <f t="shared" ca="1" si="260"/>
        <v>46732.390155838657</v>
      </c>
      <c r="FI37" s="200">
        <f t="shared" si="261"/>
        <v>1</v>
      </c>
      <c r="FJ37" s="201" cm="1">
        <f t="array" ref="FJ37">IF(LEFT($AG37,3)="Res",IF(OR($DR37&gt;External_Threshold,$DH37&gt;0),1*Uplift*AWE*(External),0),0)</f>
        <v>15481.186685962373</v>
      </c>
      <c r="FK37" s="200">
        <f t="shared" si="262"/>
        <v>1</v>
      </c>
      <c r="FL37" s="201">
        <f t="shared" si="263"/>
        <v>0</v>
      </c>
      <c r="FM37" s="203">
        <f t="shared" si="342"/>
        <v>0</v>
      </c>
      <c r="FN37" s="199">
        <f t="shared" ca="1" si="264"/>
        <v>54947.891944042458</v>
      </c>
      <c r="FO37" s="200">
        <f t="shared" si="265"/>
        <v>1</v>
      </c>
      <c r="FP37" s="201">
        <f t="shared" ca="1" si="266"/>
        <v>32971.593437225762</v>
      </c>
      <c r="FQ37" s="200">
        <f t="shared" si="267"/>
        <v>1</v>
      </c>
      <c r="FR37" s="201" cm="1">
        <f t="array" ref="FR37">IF(LEFT($AG37,3)="Res",IF(OR($DS37&gt;External_Threshold,$DI37&gt;0),1*Uplift*AWE*(External),0),0)</f>
        <v>15481.186685962373</v>
      </c>
      <c r="FS37" s="200">
        <f t="shared" si="268"/>
        <v>1</v>
      </c>
      <c r="FT37" s="201">
        <f t="shared" si="269"/>
        <v>0</v>
      </c>
      <c r="FU37" s="203">
        <f t="shared" si="343"/>
        <v>0</v>
      </c>
      <c r="FV37" s="199">
        <f t="shared" ca="1" si="270"/>
        <v>0</v>
      </c>
      <c r="FW37" s="200">
        <f t="shared" si="271"/>
        <v>0</v>
      </c>
      <c r="FX37" s="201">
        <f t="shared" ca="1" si="272"/>
        <v>0</v>
      </c>
      <c r="FY37" s="200">
        <f t="shared" si="273"/>
        <v>0</v>
      </c>
      <c r="FZ37" s="201" cm="1">
        <f t="array" ref="FZ37">IF(LEFT($AG37,3)="Res",IF(OR($DT37&gt;External_Threshold,$DJ37&gt;0),1*Uplift*AWE*(External),0),0)</f>
        <v>0</v>
      </c>
      <c r="GA37" s="200">
        <f t="shared" si="274"/>
        <v>0</v>
      </c>
      <c r="GB37" s="201">
        <f t="shared" si="275"/>
        <v>0</v>
      </c>
      <c r="GC37" s="203">
        <f t="shared" si="344"/>
        <v>0</v>
      </c>
      <c r="GD37" s="199">
        <f t="shared" ca="1" si="276"/>
        <v>0</v>
      </c>
      <c r="GE37" s="200">
        <f t="shared" si="277"/>
        <v>0</v>
      </c>
      <c r="GF37" s="201">
        <f t="shared" ca="1" si="278"/>
        <v>0</v>
      </c>
      <c r="GG37" s="200">
        <f t="shared" si="279"/>
        <v>0</v>
      </c>
      <c r="GH37" s="201" cm="1">
        <f t="array" ref="GH37">IF(LEFT($AG37,3)="Res",IF(OR($DU37&gt;External_Threshold,$DK37&gt;0),1*Uplift*AWE*(External),0),0)</f>
        <v>0</v>
      </c>
      <c r="GI37" s="200">
        <f t="shared" si="280"/>
        <v>0</v>
      </c>
      <c r="GJ37" s="201">
        <f t="shared" si="281"/>
        <v>0</v>
      </c>
      <c r="GK37" s="203">
        <f t="shared" si="345"/>
        <v>0</v>
      </c>
      <c r="GL37" s="199">
        <f t="shared" ca="1" si="282"/>
        <v>0</v>
      </c>
      <c r="GM37" s="200">
        <f t="shared" si="283"/>
        <v>0</v>
      </c>
      <c r="GN37" s="201">
        <f t="shared" ca="1" si="284"/>
        <v>0</v>
      </c>
      <c r="GO37" s="200">
        <f t="shared" si="285"/>
        <v>0</v>
      </c>
      <c r="GP37" s="201" cm="1">
        <f t="array" ref="GP37">IF(LEFT($AG37,3)="Res",IF(OR($DV37&gt;External_Threshold,$DL37&gt;0),1*Uplift*AWE*(External),0),0)</f>
        <v>0</v>
      </c>
      <c r="GQ37" s="200">
        <f t="shared" si="286"/>
        <v>0</v>
      </c>
      <c r="GR37" s="201">
        <f t="shared" si="287"/>
        <v>0</v>
      </c>
      <c r="GS37" s="203">
        <f t="shared" si="346"/>
        <v>0</v>
      </c>
      <c r="GT37" s="199">
        <f t="shared" ca="1" si="288"/>
        <v>0</v>
      </c>
      <c r="GU37" s="200">
        <f t="shared" si="289"/>
        <v>0</v>
      </c>
      <c r="GV37" s="201">
        <f t="shared" ca="1" si="290"/>
        <v>0</v>
      </c>
      <c r="GW37" s="200">
        <f t="shared" si="291"/>
        <v>0</v>
      </c>
      <c r="GX37" s="201" cm="1">
        <f t="array" ref="GX37">IF(LEFT($AG37,3)="Res",IF(OR($DW37&gt;External_Threshold,$DM37&gt;0),1*Uplift*AWE*(External),0),0)</f>
        <v>0</v>
      </c>
      <c r="GY37" s="200">
        <f t="shared" si="292"/>
        <v>0</v>
      </c>
      <c r="GZ37" s="201">
        <f t="shared" si="293"/>
        <v>0</v>
      </c>
      <c r="HA37" s="203">
        <f t="shared" si="347"/>
        <v>0</v>
      </c>
      <c r="HB37" s="54"/>
      <c r="HC37" s="54"/>
      <c r="HD37" s="54"/>
      <c r="HE37" s="54"/>
      <c r="HF37" s="54"/>
      <c r="HG37" s="201">
        <f t="shared" ca="1" si="348"/>
        <v>235756.30686480092</v>
      </c>
      <c r="HH37" s="201">
        <f t="shared" ca="1" si="349"/>
        <v>152274.75472737252</v>
      </c>
      <c r="HI37" s="201">
        <f t="shared" ca="1" si="350"/>
        <v>149039.26776281849</v>
      </c>
      <c r="HJ37" s="201">
        <f t="shared" ca="1" si="351"/>
        <v>141316.36962283435</v>
      </c>
      <c r="HK37" s="201">
        <f t="shared" ca="1" si="352"/>
        <v>120252.28770769588</v>
      </c>
      <c r="HL37" s="201">
        <f t="shared" ca="1" si="353"/>
        <v>103400.6720672306</v>
      </c>
      <c r="HM37" s="201">
        <f t="shared" ca="1" si="354"/>
        <v>0</v>
      </c>
      <c r="HN37" s="201">
        <f t="shared" ca="1" si="355"/>
        <v>0</v>
      </c>
      <c r="HO37" s="201">
        <f t="shared" ca="1" si="356"/>
        <v>0</v>
      </c>
      <c r="HP37" s="201">
        <f t="shared" ca="1" si="357"/>
        <v>0</v>
      </c>
      <c r="HQ37" s="54"/>
    </row>
    <row r="38" spans="1:225" x14ac:dyDescent="0.3">
      <c r="A38" s="513">
        <v>20</v>
      </c>
      <c r="B38" s="514" t="s">
        <v>443</v>
      </c>
      <c r="C38" s="514" t="s">
        <v>390</v>
      </c>
      <c r="D38" s="514" t="s">
        <v>390</v>
      </c>
      <c r="E38" s="513">
        <v>1</v>
      </c>
      <c r="F38" s="515">
        <v>5.47</v>
      </c>
      <c r="G38" s="515">
        <v>5.04</v>
      </c>
      <c r="H38" s="513">
        <v>2</v>
      </c>
      <c r="I38" s="517">
        <v>1</v>
      </c>
      <c r="J38" s="518" t="s">
        <v>42</v>
      </c>
      <c r="K38" s="513">
        <f t="shared" si="204"/>
        <v>90</v>
      </c>
      <c r="L38" s="519">
        <v>7.56</v>
      </c>
      <c r="M38" s="519">
        <v>6.55</v>
      </c>
      <c r="N38" s="519">
        <v>6.25</v>
      </c>
      <c r="O38" s="519">
        <v>5.95</v>
      </c>
      <c r="P38" s="519">
        <v>5.47</v>
      </c>
      <c r="Q38" s="519">
        <v>4.99</v>
      </c>
      <c r="R38" s="519">
        <v>4.1900000000000004</v>
      </c>
      <c r="S38" s="519">
        <v>0</v>
      </c>
      <c r="T38" s="519">
        <v>0</v>
      </c>
      <c r="U38" s="519">
        <v>0</v>
      </c>
      <c r="V38" s="536"/>
      <c r="W38" s="536"/>
      <c r="X38" s="536"/>
      <c r="Y38" s="536"/>
      <c r="Z38" s="536"/>
      <c r="AA38" s="536"/>
      <c r="AB38" s="536"/>
      <c r="AC38" s="536"/>
      <c r="AD38" s="536"/>
      <c r="AE38" s="536"/>
      <c r="AF38" s="54"/>
      <c r="AG38" s="204" t="str">
        <f t="shared" si="465"/>
        <v>Res1</v>
      </c>
      <c r="AH38" s="204">
        <f t="shared" si="294"/>
        <v>4</v>
      </c>
      <c r="AI38" s="204">
        <f t="shared" si="205"/>
        <v>1</v>
      </c>
      <c r="AJ38" s="54"/>
      <c r="AK38" s="74">
        <f>IFERROR(IF(H38&gt;4,0,AI38*Inputs!$C$55),0)</f>
        <v>2.6</v>
      </c>
      <c r="AL38" s="81">
        <f>IFERROR(Inputs!$C$73,0)</f>
        <v>5</v>
      </c>
      <c r="AM38" s="211">
        <f>IFERROR(Inputs!$C$74,0)</f>
        <v>0.24299999999999999</v>
      </c>
      <c r="AN38" s="446">
        <f>IFERROR(HLOOKUP(HLOOKUP(AN$17,$V$18:$AE38,COUNTA($AK$18:$AK38),FALSE),Inputs!$B$58:$H$59,2,FALSE),0)</f>
        <v>0</v>
      </c>
      <c r="AO38" s="447">
        <f t="shared" si="295"/>
        <v>0</v>
      </c>
      <c r="AP38" s="447">
        <f t="shared" si="296"/>
        <v>0</v>
      </c>
      <c r="AQ38" s="446">
        <f>IFERROR(HLOOKUP(HLOOKUP(AQ$17,$V$18:$AE38,COUNTA($AK$18:$AK38),FALSE),Inputs!$B$58:$H$59,2,FALSE),0)</f>
        <v>0</v>
      </c>
      <c r="AR38" s="447">
        <f t="shared" ref="AR38" si="577">2*$AK38*AQ38*$AL38/100*$AM38</f>
        <v>0</v>
      </c>
      <c r="AS38" s="447">
        <f t="shared" si="298"/>
        <v>0</v>
      </c>
      <c r="AT38" s="446">
        <f>IFERROR(HLOOKUP(HLOOKUP(AT$17,$V$18:$AE38,COUNTA($AK$18:$AK38),FALSE),Inputs!$B$58:$H$59,2,FALSE),0)</f>
        <v>0</v>
      </c>
      <c r="AU38" s="447">
        <f t="shared" ref="AU38" si="578">2*$AK38*AT38*$AL38/100*$AM38</f>
        <v>0</v>
      </c>
      <c r="AV38" s="447">
        <f t="shared" si="300"/>
        <v>0</v>
      </c>
      <c r="AW38" s="446">
        <f>IFERROR(HLOOKUP(HLOOKUP(AW$17,$V$18:$AE38,COUNTA($AK$18:$AK38),FALSE),Inputs!$B$58:$H$59,2,FALSE),0)</f>
        <v>0</v>
      </c>
      <c r="AX38" s="447">
        <f t="shared" ref="AX38" si="579">2*$AK38*AW38*$AL38/100*$AM38</f>
        <v>0</v>
      </c>
      <c r="AY38" s="447">
        <f t="shared" si="302"/>
        <v>0</v>
      </c>
      <c r="AZ38" s="446">
        <f>IFERROR(HLOOKUP(HLOOKUP(AZ$17,$V$18:$AE38,COUNTA($AK$18:$AK38),FALSE),Inputs!$B$58:$H$59,2,FALSE),0)</f>
        <v>0</v>
      </c>
      <c r="BA38" s="447">
        <f t="shared" ref="BA38" si="580">2*$AK38*AZ38*$AL38/100*$AM38</f>
        <v>0</v>
      </c>
      <c r="BB38" s="447">
        <f t="shared" si="304"/>
        <v>0</v>
      </c>
      <c r="BC38" s="446">
        <f>IFERROR(HLOOKUP(HLOOKUP(BC$17,$V$18:$AE38,COUNTA($AK$18:$AK38),FALSE),Inputs!$B$58:$H$59,2,FALSE),0)</f>
        <v>0</v>
      </c>
      <c r="BD38" s="447">
        <f t="shared" ref="BD38" si="581">2*$AK38*BC38*$AL38/100*$AM38</f>
        <v>0</v>
      </c>
      <c r="BE38" s="447">
        <f t="shared" si="306"/>
        <v>0</v>
      </c>
      <c r="BF38" s="446">
        <f>IFERROR(HLOOKUP(HLOOKUP(BF$17,$V$18:$AE38,COUNTA($AK$18:$AK38),FALSE),Inputs!$B$58:$H$59,2,FALSE),0)</f>
        <v>0</v>
      </c>
      <c r="BG38" s="447">
        <f t="shared" ref="BG38" si="582">2*$AK38*BF38*$AL38/100*$AM38</f>
        <v>0</v>
      </c>
      <c r="BH38" s="447">
        <f t="shared" si="308"/>
        <v>0</v>
      </c>
      <c r="BI38" s="446">
        <f>IFERROR(HLOOKUP(HLOOKUP(BI$17,$V$18:$AE38,COUNTA($AK$18:$AK38),FALSE),Inputs!$B$58:$H$59,2,FALSE),0)</f>
        <v>0</v>
      </c>
      <c r="BJ38" s="447">
        <f t="shared" ref="BJ38" si="583">2*$AK38*BI38*$AL38/100*$AM38</f>
        <v>0</v>
      </c>
      <c r="BK38" s="447">
        <f t="shared" si="310"/>
        <v>0</v>
      </c>
      <c r="BL38" s="446">
        <f>IFERROR(HLOOKUP(HLOOKUP(BL$17,$V$18:$AE38,COUNTA($AK$18:$AK38),FALSE),Inputs!$B$58:$H$59,2,FALSE),0)</f>
        <v>0</v>
      </c>
      <c r="BM38" s="447">
        <f t="shared" ref="BM38" si="584">2*$AK38*BL38*$AL38/100*$AM38</f>
        <v>0</v>
      </c>
      <c r="BN38" s="447">
        <f t="shared" si="312"/>
        <v>0</v>
      </c>
      <c r="BO38" s="446">
        <f>IFERROR(HLOOKUP(HLOOKUP(BO$17,$V$18:$AE38,COUNTA($AK$18:$AK38),FALSE),Inputs!$B$58:$H$59,2,FALSE),0)</f>
        <v>0</v>
      </c>
      <c r="BP38" s="447">
        <f t="shared" ref="BP38" si="585">2*$AK38*BO38*$AL38/100*$AM38</f>
        <v>0</v>
      </c>
      <c r="BQ38" s="447">
        <f t="shared" si="314"/>
        <v>0</v>
      </c>
      <c r="BR38" s="54"/>
      <c r="BS38" s="103">
        <f t="shared" ca="1" si="224"/>
        <v>712.28543623733731</v>
      </c>
      <c r="BT38" s="103">
        <f t="shared" ca="1" si="396"/>
        <v>627.58205217932505</v>
      </c>
      <c r="BU38" s="103">
        <f t="shared" si="397"/>
        <v>541.68672214182345</v>
      </c>
      <c r="BV38" s="103">
        <f t="shared" si="398"/>
        <v>0</v>
      </c>
      <c r="BW38" s="152">
        <f t="shared" ca="1" si="399"/>
        <v>1881.5542105584859</v>
      </c>
      <c r="BX38" s="441"/>
      <c r="BY38" s="94" t="s">
        <v>91</v>
      </c>
      <c r="BZ38" s="356">
        <f>$DJ$9</f>
        <v>4</v>
      </c>
      <c r="CA38" s="95">
        <f>$DJ$7</f>
        <v>0.60000000000000053</v>
      </c>
      <c r="CB38" s="79">
        <f ca="1">$FV$10</f>
        <v>332459.34414696897</v>
      </c>
      <c r="CC38" s="79">
        <f ca="1">$FV$9</f>
        <v>83114.836036742243</v>
      </c>
      <c r="CD38" s="54"/>
      <c r="CE38" s="94" t="s">
        <v>91</v>
      </c>
      <c r="CF38" s="356">
        <f>$DJ$9</f>
        <v>4</v>
      </c>
      <c r="CG38" s="95">
        <f>$DJ$7</f>
        <v>0.60000000000000053</v>
      </c>
      <c r="CH38" s="79">
        <f ca="1">$FX$10</f>
        <v>181141.62698804753</v>
      </c>
      <c r="CI38" s="79">
        <f ca="1">$FX$9</f>
        <v>45285.406747011883</v>
      </c>
      <c r="CJ38" s="54"/>
      <c r="CK38" s="94" t="s">
        <v>91</v>
      </c>
      <c r="CL38" s="356">
        <f>$DT$9</f>
        <v>9</v>
      </c>
      <c r="CM38" s="95">
        <f>$DT$7</f>
        <v>0.94000000000000039</v>
      </c>
      <c r="CN38" s="79">
        <f>$FZ$10</f>
        <v>108368.3068017366</v>
      </c>
      <c r="CO38" s="79">
        <f>$FZ$9</f>
        <v>12040.922977970733</v>
      </c>
      <c r="CP38" s="54"/>
      <c r="CQ38" s="94" t="s">
        <v>91</v>
      </c>
      <c r="CR38" s="356">
        <f>$DJ$9</f>
        <v>4</v>
      </c>
      <c r="CS38" s="95">
        <f>$DJ$7</f>
        <v>0.60000000000000053</v>
      </c>
      <c r="CT38" s="79">
        <f>$GB$10</f>
        <v>0</v>
      </c>
      <c r="CU38" s="79" t="str">
        <f>$GB$9</f>
        <v>--</v>
      </c>
      <c r="CV38" s="54"/>
      <c r="CW38" s="94" t="s">
        <v>91</v>
      </c>
      <c r="CX38" s="356">
        <f>$DJ$9</f>
        <v>4</v>
      </c>
      <c r="CY38" s="95">
        <f>$DJ$7</f>
        <v>0.60000000000000053</v>
      </c>
      <c r="CZ38" s="79">
        <f ca="1">SUM(DetailedStructural[[#This Row],[Total Damages]],DetailedInternal[[#This Row],[Total Damages]],DetailedExternal[[#This Row],[Total Damages]],DetailedRiskToLife[[#This Row],[Total Damages]])</f>
        <v>621969.27793675312</v>
      </c>
      <c r="DA38" s="79">
        <f ca="1">SUM(DetailedStructural[[#This Row],[AAD per Property]],DetailedInternal[[#This Row],[AAD per Property]],DetailedExternal[[#This Row],[AAD per Property]],DetailedRiskToLife[[#This Row],[AAD per Property]])</f>
        <v>140441.16576172487</v>
      </c>
      <c r="DB38" s="54"/>
      <c r="DC38" s="54"/>
      <c r="DD38" s="188">
        <f t="shared" si="315"/>
        <v>2.09</v>
      </c>
      <c r="DE38" s="188">
        <f t="shared" si="316"/>
        <v>1.08</v>
      </c>
      <c r="DF38" s="188">
        <f t="shared" si="317"/>
        <v>0.78000000000000025</v>
      </c>
      <c r="DG38" s="188">
        <f t="shared" si="318"/>
        <v>0.48000000000000043</v>
      </c>
      <c r="DH38" s="188">
        <f t="shared" si="319"/>
        <v>0</v>
      </c>
      <c r="DI38" s="188">
        <f t="shared" si="320"/>
        <v>-0.3</v>
      </c>
      <c r="DJ38" s="188">
        <f t="shared" si="321"/>
        <v>-0.3</v>
      </c>
      <c r="DK38" s="188">
        <f t="shared" si="322"/>
        <v>-0.3</v>
      </c>
      <c r="DL38" s="188">
        <f t="shared" si="323"/>
        <v>-0.3</v>
      </c>
      <c r="DM38" s="188">
        <f t="shared" si="324"/>
        <v>-0.3</v>
      </c>
      <c r="DN38" s="189">
        <f t="shared" si="325"/>
        <v>2.5199999999999996</v>
      </c>
      <c r="DO38" s="189">
        <f t="shared" si="326"/>
        <v>1.5099999999999998</v>
      </c>
      <c r="DP38" s="189">
        <f t="shared" si="327"/>
        <v>1.21</v>
      </c>
      <c r="DQ38" s="189">
        <f t="shared" si="328"/>
        <v>0.91000000000000014</v>
      </c>
      <c r="DR38" s="189">
        <f t="shared" si="329"/>
        <v>0.42999999999999972</v>
      </c>
      <c r="DS38" s="189">
        <f t="shared" si="330"/>
        <v>0</v>
      </c>
      <c r="DT38" s="189">
        <f t="shared" si="331"/>
        <v>0</v>
      </c>
      <c r="DU38" s="189">
        <f t="shared" si="332"/>
        <v>0</v>
      </c>
      <c r="DV38" s="189">
        <f t="shared" si="333"/>
        <v>0</v>
      </c>
      <c r="DW38" s="189">
        <f t="shared" si="334"/>
        <v>0</v>
      </c>
      <c r="DX38" s="54"/>
      <c r="DY38" s="54"/>
      <c r="DZ38" s="199">
        <f t="shared" ca="1" si="237"/>
        <v>60300.770260492049</v>
      </c>
      <c r="EA38" s="200">
        <f t="shared" si="335"/>
        <v>1</v>
      </c>
      <c r="EB38" s="201">
        <f t="shared" ca="1" si="238"/>
        <v>57837.453358167331</v>
      </c>
      <c r="EC38" s="200">
        <f t="shared" si="336"/>
        <v>1</v>
      </c>
      <c r="ED38" s="201" cm="1">
        <f t="array" ref="ED38">IF(LEFT($AG38,3)="Res",IF(OR($DN38&gt;External_Threshold,$DD38&gt;0),1*Uplift*AWE*(External),0),0)</f>
        <v>15481.186685962373</v>
      </c>
      <c r="EE38" s="200">
        <f t="shared" si="337"/>
        <v>1</v>
      </c>
      <c r="EF38" s="201">
        <f t="shared" si="239"/>
        <v>0</v>
      </c>
      <c r="EG38" s="203">
        <f t="shared" si="338"/>
        <v>0</v>
      </c>
      <c r="EH38" s="199">
        <f t="shared" ca="1" si="240"/>
        <v>46847.619030390742</v>
      </c>
      <c r="EI38" s="200">
        <f t="shared" si="241"/>
        <v>1</v>
      </c>
      <c r="EJ38" s="201">
        <f t="shared" ca="1" si="242"/>
        <v>52693.153272983225</v>
      </c>
      <c r="EK38" s="200">
        <f t="shared" si="243"/>
        <v>1</v>
      </c>
      <c r="EL38" s="201" cm="1">
        <f t="array" ref="EL38">IF(LEFT($AG38,3)="Res",IF(OR($DO38&gt;External_Threshold,$DE38&gt;0),1*Uplift*AWE*(External),0),0)</f>
        <v>15481.186685962373</v>
      </c>
      <c r="EM38" s="200">
        <f t="shared" si="244"/>
        <v>1</v>
      </c>
      <c r="EN38" s="201">
        <f t="shared" si="245"/>
        <v>0</v>
      </c>
      <c r="EO38" s="203">
        <f t="shared" si="339"/>
        <v>0</v>
      </c>
      <c r="EP38" s="199">
        <f t="shared" ca="1" si="246"/>
        <v>43169.289073806081</v>
      </c>
      <c r="EQ38" s="200">
        <f t="shared" si="247"/>
        <v>1</v>
      </c>
      <c r="ER38" s="201">
        <f t="shared" ca="1" si="248"/>
        <v>42844.516396144296</v>
      </c>
      <c r="ES38" s="200">
        <f t="shared" si="249"/>
        <v>1</v>
      </c>
      <c r="ET38" s="201" cm="1">
        <f t="array" ref="ET38">IF(LEFT($AG38,3)="Res",IF(OR($DP38&gt;External_Threshold,$DF38&gt;0),1*Uplift*AWE*(External),0),0)</f>
        <v>15481.186685962373</v>
      </c>
      <c r="EU38" s="200">
        <f t="shared" si="250"/>
        <v>1</v>
      </c>
      <c r="EV38" s="201">
        <f t="shared" si="251"/>
        <v>0</v>
      </c>
      <c r="EW38" s="203">
        <f t="shared" si="340"/>
        <v>0</v>
      </c>
      <c r="EX38" s="199">
        <f t="shared" ca="1" si="252"/>
        <v>40870.332850940664</v>
      </c>
      <c r="EY38" s="200">
        <f t="shared" si="253"/>
        <v>1</v>
      </c>
      <c r="EZ38" s="201">
        <f t="shared" ca="1" si="254"/>
        <v>35624.840411637095</v>
      </c>
      <c r="FA38" s="200">
        <f t="shared" si="255"/>
        <v>1</v>
      </c>
      <c r="FB38" s="201" cm="1">
        <f t="array" ref="FB38">IF(LEFT($AG38,3)="Res",IF(OR($DQ38&gt;External_Threshold,$DG38&gt;0),1*Uplift*AWE*(External),0),0)</f>
        <v>15481.186685962373</v>
      </c>
      <c r="FC38" s="200">
        <f t="shared" si="256"/>
        <v>1</v>
      </c>
      <c r="FD38" s="201">
        <f t="shared" si="257"/>
        <v>0</v>
      </c>
      <c r="FE38" s="203">
        <f t="shared" si="341"/>
        <v>0</v>
      </c>
      <c r="FF38" s="199">
        <f t="shared" ca="1" si="258"/>
        <v>2809.8353835021708</v>
      </c>
      <c r="FG38" s="200">
        <f t="shared" si="259"/>
        <v>0</v>
      </c>
      <c r="FH38" s="201">
        <f t="shared" ca="1" si="260"/>
        <v>0</v>
      </c>
      <c r="FI38" s="200">
        <f t="shared" si="261"/>
        <v>0</v>
      </c>
      <c r="FJ38" s="201" cm="1">
        <f t="array" ref="FJ38">IF(LEFT($AG38,3)="Res",IF(OR($DR38&gt;External_Threshold,$DH38&gt;0),1*Uplift*AWE*(External),0),0)</f>
        <v>15481.186685962373</v>
      </c>
      <c r="FK38" s="200">
        <f t="shared" si="262"/>
        <v>1</v>
      </c>
      <c r="FL38" s="201">
        <f t="shared" si="263"/>
        <v>0</v>
      </c>
      <c r="FM38" s="203">
        <f t="shared" si="342"/>
        <v>0</v>
      </c>
      <c r="FN38" s="199">
        <f t="shared" ca="1" si="264"/>
        <v>0</v>
      </c>
      <c r="FO38" s="200">
        <f t="shared" si="265"/>
        <v>0</v>
      </c>
      <c r="FP38" s="201">
        <f t="shared" ca="1" si="266"/>
        <v>0</v>
      </c>
      <c r="FQ38" s="200">
        <f t="shared" si="267"/>
        <v>0</v>
      </c>
      <c r="FR38" s="201" cm="1">
        <f t="array" ref="FR38">IF(LEFT($AG38,3)="Res",IF(OR($DS38&gt;External_Threshold,$DI38&gt;0),1*Uplift*AWE*(External),0),0)</f>
        <v>0</v>
      </c>
      <c r="FS38" s="200">
        <f t="shared" si="268"/>
        <v>0</v>
      </c>
      <c r="FT38" s="201">
        <f t="shared" si="269"/>
        <v>0</v>
      </c>
      <c r="FU38" s="203">
        <f t="shared" si="343"/>
        <v>0</v>
      </c>
      <c r="FV38" s="199">
        <f t="shared" ca="1" si="270"/>
        <v>0</v>
      </c>
      <c r="FW38" s="200">
        <f t="shared" si="271"/>
        <v>0</v>
      </c>
      <c r="FX38" s="201">
        <f t="shared" ca="1" si="272"/>
        <v>0</v>
      </c>
      <c r="FY38" s="200">
        <f t="shared" si="273"/>
        <v>0</v>
      </c>
      <c r="FZ38" s="201" cm="1">
        <f t="array" ref="FZ38">IF(LEFT($AG38,3)="Res",IF(OR($DT38&gt;External_Threshold,$DJ38&gt;0),1*Uplift*AWE*(External),0),0)</f>
        <v>0</v>
      </c>
      <c r="GA38" s="200">
        <f t="shared" si="274"/>
        <v>0</v>
      </c>
      <c r="GB38" s="201">
        <f t="shared" si="275"/>
        <v>0</v>
      </c>
      <c r="GC38" s="203">
        <f t="shared" si="344"/>
        <v>0</v>
      </c>
      <c r="GD38" s="199">
        <f t="shared" ca="1" si="276"/>
        <v>0</v>
      </c>
      <c r="GE38" s="200">
        <f t="shared" si="277"/>
        <v>0</v>
      </c>
      <c r="GF38" s="201">
        <f t="shared" ca="1" si="278"/>
        <v>0</v>
      </c>
      <c r="GG38" s="200">
        <f t="shared" si="279"/>
        <v>0</v>
      </c>
      <c r="GH38" s="201" cm="1">
        <f t="array" ref="GH38">IF(LEFT($AG38,3)="Res",IF(OR($DU38&gt;External_Threshold,$DK38&gt;0),1*Uplift*AWE*(External),0),0)</f>
        <v>0</v>
      </c>
      <c r="GI38" s="200">
        <f t="shared" si="280"/>
        <v>0</v>
      </c>
      <c r="GJ38" s="201">
        <f t="shared" si="281"/>
        <v>0</v>
      </c>
      <c r="GK38" s="203">
        <f t="shared" si="345"/>
        <v>0</v>
      </c>
      <c r="GL38" s="199">
        <f t="shared" ca="1" si="282"/>
        <v>0</v>
      </c>
      <c r="GM38" s="200">
        <f t="shared" si="283"/>
        <v>0</v>
      </c>
      <c r="GN38" s="201">
        <f t="shared" ca="1" si="284"/>
        <v>0</v>
      </c>
      <c r="GO38" s="200">
        <f t="shared" si="285"/>
        <v>0</v>
      </c>
      <c r="GP38" s="201" cm="1">
        <f t="array" ref="GP38">IF(LEFT($AG38,3)="Res",IF(OR($DV38&gt;External_Threshold,$DL38&gt;0),1*Uplift*AWE*(External),0),0)</f>
        <v>0</v>
      </c>
      <c r="GQ38" s="200">
        <f t="shared" si="286"/>
        <v>0</v>
      </c>
      <c r="GR38" s="201">
        <f t="shared" si="287"/>
        <v>0</v>
      </c>
      <c r="GS38" s="203">
        <f t="shared" si="346"/>
        <v>0</v>
      </c>
      <c r="GT38" s="199">
        <f t="shared" ca="1" si="288"/>
        <v>0</v>
      </c>
      <c r="GU38" s="200">
        <f t="shared" si="289"/>
        <v>0</v>
      </c>
      <c r="GV38" s="201">
        <f t="shared" ca="1" si="290"/>
        <v>0</v>
      </c>
      <c r="GW38" s="200">
        <f t="shared" si="291"/>
        <v>0</v>
      </c>
      <c r="GX38" s="201" cm="1">
        <f t="array" ref="GX38">IF(LEFT($AG38,3)="Res",IF(OR($DW38&gt;External_Threshold,$DM38&gt;0),1*Uplift*AWE*(External),0),0)</f>
        <v>0</v>
      </c>
      <c r="GY38" s="200">
        <f t="shared" si="292"/>
        <v>0</v>
      </c>
      <c r="GZ38" s="201">
        <f t="shared" si="293"/>
        <v>0</v>
      </c>
      <c r="HA38" s="203">
        <f t="shared" si="347"/>
        <v>0</v>
      </c>
      <c r="HB38" s="54"/>
      <c r="HC38" s="54"/>
      <c r="HD38" s="54"/>
      <c r="HE38" s="54"/>
      <c r="HF38" s="54"/>
      <c r="HG38" s="201">
        <f t="shared" ca="1" si="348"/>
        <v>133619.41030462176</v>
      </c>
      <c r="HH38" s="201">
        <f t="shared" ca="1" si="349"/>
        <v>115021.95898933633</v>
      </c>
      <c r="HI38" s="201">
        <f t="shared" ca="1" si="350"/>
        <v>101494.99215591274</v>
      </c>
      <c r="HJ38" s="201">
        <f t="shared" ca="1" si="351"/>
        <v>91976.359948540136</v>
      </c>
      <c r="HK38" s="201">
        <f t="shared" ca="1" si="352"/>
        <v>18291.022069464543</v>
      </c>
      <c r="HL38" s="201">
        <f t="shared" ca="1" si="353"/>
        <v>0</v>
      </c>
      <c r="HM38" s="201">
        <f t="shared" ca="1" si="354"/>
        <v>0</v>
      </c>
      <c r="HN38" s="201">
        <f t="shared" ca="1" si="355"/>
        <v>0</v>
      </c>
      <c r="HO38" s="201">
        <f t="shared" ca="1" si="356"/>
        <v>0</v>
      </c>
      <c r="HP38" s="201">
        <f t="shared" ca="1" si="357"/>
        <v>0</v>
      </c>
      <c r="HQ38" s="54"/>
    </row>
    <row r="39" spans="1:225" x14ac:dyDescent="0.3">
      <c r="A39" s="513">
        <v>21</v>
      </c>
      <c r="B39" s="514" t="s">
        <v>444</v>
      </c>
      <c r="C39" s="514" t="s">
        <v>390</v>
      </c>
      <c r="D39" s="514" t="s">
        <v>390</v>
      </c>
      <c r="E39" s="513">
        <v>1</v>
      </c>
      <c r="F39" s="515">
        <v>4.63</v>
      </c>
      <c r="G39" s="515">
        <v>4.47</v>
      </c>
      <c r="H39" s="513">
        <v>2</v>
      </c>
      <c r="I39" s="517">
        <v>1</v>
      </c>
      <c r="J39" s="518" t="s">
        <v>43</v>
      </c>
      <c r="K39" s="513">
        <f t="shared" si="204"/>
        <v>180</v>
      </c>
      <c r="L39" s="519">
        <v>7.56</v>
      </c>
      <c r="M39" s="519">
        <v>6.55</v>
      </c>
      <c r="N39" s="519">
        <v>6.25</v>
      </c>
      <c r="O39" s="519">
        <v>5.95</v>
      </c>
      <c r="P39" s="519">
        <v>5.47</v>
      </c>
      <c r="Q39" s="519">
        <v>4.99</v>
      </c>
      <c r="R39" s="519">
        <v>4.1900000000000004</v>
      </c>
      <c r="S39" s="519">
        <v>0</v>
      </c>
      <c r="T39" s="519">
        <v>0</v>
      </c>
      <c r="U39" s="519">
        <v>0</v>
      </c>
      <c r="V39" s="536"/>
      <c r="W39" s="536"/>
      <c r="X39" s="536"/>
      <c r="Y39" s="536"/>
      <c r="Z39" s="536"/>
      <c r="AA39" s="536"/>
      <c r="AB39" s="536"/>
      <c r="AC39" s="536"/>
      <c r="AD39" s="536"/>
      <c r="AE39" s="536"/>
      <c r="AF39" s="54"/>
      <c r="AG39" s="204" t="str">
        <f t="shared" si="465"/>
        <v>Res1</v>
      </c>
      <c r="AH39" s="204">
        <f t="shared" si="294"/>
        <v>5</v>
      </c>
      <c r="AI39" s="204">
        <f t="shared" si="205"/>
        <v>1</v>
      </c>
      <c r="AJ39" s="54"/>
      <c r="AK39" s="74">
        <f>IFERROR(IF(H39&gt;4,0,AI39*Inputs!$C$55),0)</f>
        <v>2.6</v>
      </c>
      <c r="AL39" s="81">
        <f>IFERROR(Inputs!$C$73,0)</f>
        <v>5</v>
      </c>
      <c r="AM39" s="211">
        <f>IFERROR(Inputs!$C$74,0)</f>
        <v>0.24299999999999999</v>
      </c>
      <c r="AN39" s="446">
        <f>IFERROR(HLOOKUP(HLOOKUP(AN$17,$V$18:$AE39,COUNTA($AK$18:$AK39),FALSE),Inputs!$B$58:$H$59,2,FALSE),0)</f>
        <v>0</v>
      </c>
      <c r="AO39" s="447">
        <f t="shared" si="295"/>
        <v>0</v>
      </c>
      <c r="AP39" s="447">
        <f t="shared" si="296"/>
        <v>0</v>
      </c>
      <c r="AQ39" s="446">
        <f>IFERROR(HLOOKUP(HLOOKUP(AQ$17,$V$18:$AE39,COUNTA($AK$18:$AK39),FALSE),Inputs!$B$58:$H$59,2,FALSE),0)</f>
        <v>0</v>
      </c>
      <c r="AR39" s="447">
        <f t="shared" ref="AR39" si="586">2*$AK39*AQ39*$AL39/100*$AM39</f>
        <v>0</v>
      </c>
      <c r="AS39" s="447">
        <f t="shared" si="298"/>
        <v>0</v>
      </c>
      <c r="AT39" s="446">
        <f>IFERROR(HLOOKUP(HLOOKUP(AT$17,$V$18:$AE39,COUNTA($AK$18:$AK39),FALSE),Inputs!$B$58:$H$59,2,FALSE),0)</f>
        <v>0</v>
      </c>
      <c r="AU39" s="447">
        <f t="shared" ref="AU39" si="587">2*$AK39*AT39*$AL39/100*$AM39</f>
        <v>0</v>
      </c>
      <c r="AV39" s="447">
        <f t="shared" si="300"/>
        <v>0</v>
      </c>
      <c r="AW39" s="446">
        <f>IFERROR(HLOOKUP(HLOOKUP(AW$17,$V$18:$AE39,COUNTA($AK$18:$AK39),FALSE),Inputs!$B$58:$H$59,2,FALSE),0)</f>
        <v>0</v>
      </c>
      <c r="AX39" s="447">
        <f t="shared" ref="AX39" si="588">2*$AK39*AW39*$AL39/100*$AM39</f>
        <v>0</v>
      </c>
      <c r="AY39" s="447">
        <f t="shared" si="302"/>
        <v>0</v>
      </c>
      <c r="AZ39" s="446">
        <f>IFERROR(HLOOKUP(HLOOKUP(AZ$17,$V$18:$AE39,COUNTA($AK$18:$AK39),FALSE),Inputs!$B$58:$H$59,2,FALSE),0)</f>
        <v>0</v>
      </c>
      <c r="BA39" s="447">
        <f t="shared" ref="BA39" si="589">2*$AK39*AZ39*$AL39/100*$AM39</f>
        <v>0</v>
      </c>
      <c r="BB39" s="447">
        <f t="shared" si="304"/>
        <v>0</v>
      </c>
      <c r="BC39" s="446">
        <f>IFERROR(HLOOKUP(HLOOKUP(BC$17,$V$18:$AE39,COUNTA($AK$18:$AK39),FALSE),Inputs!$B$58:$H$59,2,FALSE),0)</f>
        <v>0</v>
      </c>
      <c r="BD39" s="447">
        <f t="shared" ref="BD39" si="590">2*$AK39*BC39*$AL39/100*$AM39</f>
        <v>0</v>
      </c>
      <c r="BE39" s="447">
        <f t="shared" si="306"/>
        <v>0</v>
      </c>
      <c r="BF39" s="446">
        <f>IFERROR(HLOOKUP(HLOOKUP(BF$17,$V$18:$AE39,COUNTA($AK$18:$AK39),FALSE),Inputs!$B$58:$H$59,2,FALSE),0)</f>
        <v>0</v>
      </c>
      <c r="BG39" s="447">
        <f t="shared" ref="BG39" si="591">2*$AK39*BF39*$AL39/100*$AM39</f>
        <v>0</v>
      </c>
      <c r="BH39" s="447">
        <f t="shared" si="308"/>
        <v>0</v>
      </c>
      <c r="BI39" s="446">
        <f>IFERROR(HLOOKUP(HLOOKUP(BI$17,$V$18:$AE39,COUNTA($AK$18:$AK39),FALSE),Inputs!$B$58:$H$59,2,FALSE),0)</f>
        <v>0</v>
      </c>
      <c r="BJ39" s="447">
        <f t="shared" ref="BJ39" si="592">2*$AK39*BI39*$AL39/100*$AM39</f>
        <v>0</v>
      </c>
      <c r="BK39" s="447">
        <f t="shared" si="310"/>
        <v>0</v>
      </c>
      <c r="BL39" s="446">
        <f>IFERROR(HLOOKUP(HLOOKUP(BL$17,$V$18:$AE39,COUNTA($AK$18:$AK39),FALSE),Inputs!$B$58:$H$59,2,FALSE),0)</f>
        <v>0</v>
      </c>
      <c r="BM39" s="447">
        <f t="shared" ref="BM39" si="593">2*$AK39*BL39*$AL39/100*$AM39</f>
        <v>0</v>
      </c>
      <c r="BN39" s="447">
        <f t="shared" si="312"/>
        <v>0</v>
      </c>
      <c r="BO39" s="446">
        <f>IFERROR(HLOOKUP(HLOOKUP(BO$17,$V$18:$AE39,COUNTA($AK$18:$AK39),FALSE),Inputs!$B$58:$H$59,2,FALSE),0)</f>
        <v>0</v>
      </c>
      <c r="BP39" s="447">
        <f t="shared" ref="BP39" si="594">2*$AK39*BO39*$AL39/100*$AM39</f>
        <v>0</v>
      </c>
      <c r="BQ39" s="447">
        <f t="shared" si="314"/>
        <v>0</v>
      </c>
      <c r="BR39" s="54"/>
      <c r="BS39" s="103">
        <f t="shared" ca="1" si="224"/>
        <v>6666.7638412934166</v>
      </c>
      <c r="BT39" s="103">
        <f t="shared" ca="1" si="396"/>
        <v>5062.5072578295649</v>
      </c>
      <c r="BU39" s="103">
        <f t="shared" si="397"/>
        <v>1160.9341895803186</v>
      </c>
      <c r="BV39" s="103">
        <f t="shared" si="398"/>
        <v>0</v>
      </c>
      <c r="BW39" s="152">
        <f t="shared" ca="1" si="399"/>
        <v>12890.205288703301</v>
      </c>
      <c r="BX39" s="441"/>
      <c r="BY39" s="94" t="s">
        <v>92</v>
      </c>
      <c r="BZ39" s="356">
        <f>$DJ$10</f>
        <v>0</v>
      </c>
      <c r="CA39" s="95">
        <f>$DJ$8</f>
        <v>0</v>
      </c>
      <c r="CB39" s="79">
        <f ca="1">$FV$12</f>
        <v>0</v>
      </c>
      <c r="CC39" s="79" t="str">
        <f ca="1">$FV$11</f>
        <v>--</v>
      </c>
      <c r="CD39" s="54"/>
      <c r="CE39" s="94" t="s">
        <v>92</v>
      </c>
      <c r="CF39" s="356">
        <f>$DJ$10</f>
        <v>0</v>
      </c>
      <c r="CG39" s="95">
        <f>$DJ$8</f>
        <v>0</v>
      </c>
      <c r="CH39" s="79">
        <f ca="1">$FX$12</f>
        <v>0</v>
      </c>
      <c r="CI39" s="79" t="str">
        <f ca="1">$FX$11</f>
        <v>--</v>
      </c>
      <c r="CJ39" s="54"/>
      <c r="CK39" s="94" t="s">
        <v>92</v>
      </c>
      <c r="CL39" s="356">
        <f>$DT$10</f>
        <v>2</v>
      </c>
      <c r="CM39" s="95">
        <f>$DT$8</f>
        <v>1.0900000000000007</v>
      </c>
      <c r="CN39" s="79">
        <f>$FZ$12</f>
        <v>0</v>
      </c>
      <c r="CO39" s="79">
        <f>$FZ$11</f>
        <v>0</v>
      </c>
      <c r="CP39" s="54"/>
      <c r="CQ39" s="94" t="s">
        <v>92</v>
      </c>
      <c r="CR39" s="356">
        <f>$DJ$10</f>
        <v>0</v>
      </c>
      <c r="CS39" s="95">
        <f>$DJ$8</f>
        <v>0</v>
      </c>
      <c r="CT39" s="79">
        <f>$GB$12</f>
        <v>0</v>
      </c>
      <c r="CU39" s="79" t="str">
        <f>$GB$11</f>
        <v>--</v>
      </c>
      <c r="CV39" s="54"/>
      <c r="CW39" s="94" t="s">
        <v>92</v>
      </c>
      <c r="CX39" s="356">
        <f>$DJ$10</f>
        <v>0</v>
      </c>
      <c r="CY39" s="95">
        <f>$DJ$8</f>
        <v>0</v>
      </c>
      <c r="CZ39" s="79">
        <f ca="1">SUM(DetailedStructural[[#This Row],[Total Damages]],DetailedInternal[[#This Row],[Total Damages]],DetailedExternal[[#This Row],[Total Damages]],DetailedRiskToLife[[#This Row],[Total Damages]])</f>
        <v>0</v>
      </c>
      <c r="DA39" s="79">
        <f ca="1">SUM(DetailedStructural[[#This Row],[AAD per Property]],DetailedInternal[[#This Row],[AAD per Property]],DetailedExternal[[#This Row],[AAD per Property]],DetailedRiskToLife[[#This Row],[AAD per Property]])</f>
        <v>0</v>
      </c>
      <c r="DB39" s="54"/>
      <c r="DC39" s="54"/>
      <c r="DD39" s="188">
        <f t="shared" si="315"/>
        <v>2.9299999999999997</v>
      </c>
      <c r="DE39" s="188">
        <f t="shared" si="316"/>
        <v>1.92</v>
      </c>
      <c r="DF39" s="188">
        <f t="shared" si="317"/>
        <v>1.62</v>
      </c>
      <c r="DG39" s="188">
        <f t="shared" si="318"/>
        <v>1.3200000000000003</v>
      </c>
      <c r="DH39" s="188">
        <f t="shared" si="319"/>
        <v>0.83999999999999986</v>
      </c>
      <c r="DI39" s="188">
        <f t="shared" si="320"/>
        <v>0.36000000000000032</v>
      </c>
      <c r="DJ39" s="188">
        <f t="shared" si="321"/>
        <v>-0.3</v>
      </c>
      <c r="DK39" s="188">
        <f t="shared" si="322"/>
        <v>-0.3</v>
      </c>
      <c r="DL39" s="188">
        <f t="shared" si="323"/>
        <v>-0.3</v>
      </c>
      <c r="DM39" s="188">
        <f t="shared" si="324"/>
        <v>-0.3</v>
      </c>
      <c r="DN39" s="189">
        <f t="shared" si="325"/>
        <v>3.09</v>
      </c>
      <c r="DO39" s="189">
        <f t="shared" si="326"/>
        <v>2.08</v>
      </c>
      <c r="DP39" s="189">
        <f t="shared" si="327"/>
        <v>1.7800000000000002</v>
      </c>
      <c r="DQ39" s="189">
        <f t="shared" si="328"/>
        <v>1.4800000000000004</v>
      </c>
      <c r="DR39" s="189">
        <f t="shared" si="329"/>
        <v>1</v>
      </c>
      <c r="DS39" s="189">
        <f t="shared" si="330"/>
        <v>0.52000000000000046</v>
      </c>
      <c r="DT39" s="189">
        <f t="shared" si="331"/>
        <v>0</v>
      </c>
      <c r="DU39" s="189">
        <f t="shared" si="332"/>
        <v>0</v>
      </c>
      <c r="DV39" s="189">
        <f t="shared" si="333"/>
        <v>0</v>
      </c>
      <c r="DW39" s="189">
        <f t="shared" si="334"/>
        <v>0</v>
      </c>
      <c r="DX39" s="54"/>
      <c r="DY39" s="54"/>
      <c r="DZ39" s="199">
        <f t="shared" ca="1" si="237"/>
        <v>155358.3527496382</v>
      </c>
      <c r="EA39" s="200">
        <f t="shared" si="335"/>
        <v>1</v>
      </c>
      <c r="EB39" s="201">
        <f t="shared" ca="1" si="238"/>
        <v>100954.56741734224</v>
      </c>
      <c r="EC39" s="200">
        <f t="shared" si="336"/>
        <v>1</v>
      </c>
      <c r="ED39" s="201" cm="1">
        <f t="array" ref="ED39">IF(LEFT($AG39,3)="Res",IF(OR($DN39&gt;External_Threshold,$DD39&gt;0),1*Uplift*AWE*(External),0),0)</f>
        <v>15481.186685962373</v>
      </c>
      <c r="EE39" s="200">
        <f t="shared" si="337"/>
        <v>1</v>
      </c>
      <c r="EF39" s="201">
        <f t="shared" si="239"/>
        <v>0</v>
      </c>
      <c r="EG39" s="203">
        <f t="shared" si="338"/>
        <v>0</v>
      </c>
      <c r="EH39" s="199">
        <f t="shared" ca="1" si="240"/>
        <v>114675.34225759767</v>
      </c>
      <c r="EI39" s="200">
        <f t="shared" si="241"/>
        <v>1</v>
      </c>
      <c r="EJ39" s="201">
        <f t="shared" ca="1" si="242"/>
        <v>98435.076365830842</v>
      </c>
      <c r="EK39" s="200">
        <f t="shared" si="243"/>
        <v>1</v>
      </c>
      <c r="EL39" s="201" cm="1">
        <f t="array" ref="EL39">IF(LEFT($AG39,3)="Res",IF(OR($DO39&gt;External_Threshold,$DE39&gt;0),1*Uplift*AWE*(External),0),0)</f>
        <v>15481.186685962373</v>
      </c>
      <c r="EM39" s="200">
        <f t="shared" si="244"/>
        <v>1</v>
      </c>
      <c r="EN39" s="201">
        <f t="shared" si="245"/>
        <v>0</v>
      </c>
      <c r="EO39" s="203">
        <f t="shared" si="339"/>
        <v>0</v>
      </c>
      <c r="EP39" s="199">
        <f t="shared" ca="1" si="246"/>
        <v>111814.41895803185</v>
      </c>
      <c r="EQ39" s="200">
        <f t="shared" si="247"/>
        <v>1</v>
      </c>
      <c r="ER39" s="201">
        <f t="shared" ca="1" si="248"/>
        <v>95770.0735128792</v>
      </c>
      <c r="ES39" s="200">
        <f t="shared" si="249"/>
        <v>1</v>
      </c>
      <c r="ET39" s="201" cm="1">
        <f t="array" ref="ET39">IF(LEFT($AG39,3)="Res",IF(OR($DP39&gt;External_Threshold,$DF39&gt;0),1*Uplift*AWE*(External),0),0)</f>
        <v>15481.186685962373</v>
      </c>
      <c r="EU39" s="200">
        <f t="shared" si="250"/>
        <v>1</v>
      </c>
      <c r="EV39" s="201">
        <f t="shared" si="251"/>
        <v>0</v>
      </c>
      <c r="EW39" s="203">
        <f t="shared" si="340"/>
        <v>0</v>
      </c>
      <c r="EX39" s="199">
        <f t="shared" ca="1" si="252"/>
        <v>102278.00795947904</v>
      </c>
      <c r="EY39" s="200">
        <f t="shared" si="253"/>
        <v>1</v>
      </c>
      <c r="EZ39" s="201">
        <f t="shared" ca="1" si="254"/>
        <v>91699.813332731545</v>
      </c>
      <c r="FA39" s="200">
        <f t="shared" si="255"/>
        <v>1</v>
      </c>
      <c r="FB39" s="201" cm="1">
        <f t="array" ref="FB39">IF(LEFT($AG39,3)="Res",IF(OR($DQ39&gt;External_Threshold,$DG39&gt;0),1*Uplift*AWE*(External),0),0)</f>
        <v>15481.186685962373</v>
      </c>
      <c r="FC39" s="200">
        <f t="shared" si="256"/>
        <v>1</v>
      </c>
      <c r="FD39" s="201">
        <f t="shared" si="257"/>
        <v>0</v>
      </c>
      <c r="FE39" s="203">
        <f t="shared" si="341"/>
        <v>0</v>
      </c>
      <c r="FF39" s="199">
        <f t="shared" ca="1" si="258"/>
        <v>87104.896888567295</v>
      </c>
      <c r="FG39" s="200">
        <f t="shared" si="259"/>
        <v>1</v>
      </c>
      <c r="FH39" s="201">
        <f t="shared" ca="1" si="260"/>
        <v>77699.16288236242</v>
      </c>
      <c r="FI39" s="200">
        <f t="shared" si="261"/>
        <v>1</v>
      </c>
      <c r="FJ39" s="201" cm="1">
        <f t="array" ref="FJ39">IF(LEFT($AG39,3)="Res",IF(OR($DR39&gt;External_Threshold,$DH39&gt;0),1*Uplift*AWE*(External),0),0)</f>
        <v>15481.186685962373</v>
      </c>
      <c r="FK39" s="200">
        <f t="shared" si="262"/>
        <v>1</v>
      </c>
      <c r="FL39" s="201">
        <f t="shared" si="263"/>
        <v>0</v>
      </c>
      <c r="FM39" s="203">
        <f t="shared" si="342"/>
        <v>0</v>
      </c>
      <c r="FN39" s="199">
        <f t="shared" ca="1" si="264"/>
        <v>81740.665701881328</v>
      </c>
      <c r="FO39" s="200">
        <f t="shared" si="265"/>
        <v>1</v>
      </c>
      <c r="FP39" s="201">
        <f t="shared" ca="1" si="266"/>
        <v>52291.244900557722</v>
      </c>
      <c r="FQ39" s="200">
        <f t="shared" si="267"/>
        <v>1</v>
      </c>
      <c r="FR39" s="201" cm="1">
        <f t="array" ref="FR39">IF(LEFT($AG39,3)="Res",IF(OR($DS39&gt;External_Threshold,$DI39&gt;0),1*Uplift*AWE*(External),0),0)</f>
        <v>15481.186685962373</v>
      </c>
      <c r="FS39" s="200">
        <f t="shared" si="268"/>
        <v>1</v>
      </c>
      <c r="FT39" s="201">
        <f t="shared" si="269"/>
        <v>0</v>
      </c>
      <c r="FU39" s="203">
        <f t="shared" si="343"/>
        <v>0</v>
      </c>
      <c r="FV39" s="199">
        <f t="shared" ca="1" si="270"/>
        <v>0</v>
      </c>
      <c r="FW39" s="200">
        <f t="shared" si="271"/>
        <v>0</v>
      </c>
      <c r="FX39" s="201">
        <f t="shared" ca="1" si="272"/>
        <v>0</v>
      </c>
      <c r="FY39" s="200">
        <f t="shared" si="273"/>
        <v>0</v>
      </c>
      <c r="FZ39" s="201" cm="1">
        <f t="array" ref="FZ39">IF(LEFT($AG39,3)="Res",IF(OR($DT39&gt;External_Threshold,$DJ39&gt;0),1*Uplift*AWE*(External),0),0)</f>
        <v>0</v>
      </c>
      <c r="GA39" s="200">
        <f t="shared" si="274"/>
        <v>0</v>
      </c>
      <c r="GB39" s="201">
        <f t="shared" si="275"/>
        <v>0</v>
      </c>
      <c r="GC39" s="203">
        <f t="shared" si="344"/>
        <v>0</v>
      </c>
      <c r="GD39" s="199">
        <f t="shared" ca="1" si="276"/>
        <v>0</v>
      </c>
      <c r="GE39" s="200">
        <f t="shared" si="277"/>
        <v>0</v>
      </c>
      <c r="GF39" s="201">
        <f t="shared" ca="1" si="278"/>
        <v>0</v>
      </c>
      <c r="GG39" s="200">
        <f t="shared" si="279"/>
        <v>0</v>
      </c>
      <c r="GH39" s="201" cm="1">
        <f t="array" ref="GH39">IF(LEFT($AG39,3)="Res",IF(OR($DU39&gt;External_Threshold,$DK39&gt;0),1*Uplift*AWE*(External),0),0)</f>
        <v>0</v>
      </c>
      <c r="GI39" s="200">
        <f t="shared" si="280"/>
        <v>0</v>
      </c>
      <c r="GJ39" s="201">
        <f t="shared" si="281"/>
        <v>0</v>
      </c>
      <c r="GK39" s="203">
        <f t="shared" si="345"/>
        <v>0</v>
      </c>
      <c r="GL39" s="199">
        <f t="shared" ca="1" si="282"/>
        <v>0</v>
      </c>
      <c r="GM39" s="200">
        <f t="shared" si="283"/>
        <v>0</v>
      </c>
      <c r="GN39" s="201">
        <f t="shared" ca="1" si="284"/>
        <v>0</v>
      </c>
      <c r="GO39" s="200">
        <f t="shared" si="285"/>
        <v>0</v>
      </c>
      <c r="GP39" s="201" cm="1">
        <f t="array" ref="GP39">IF(LEFT($AG39,3)="Res",IF(OR($DV39&gt;External_Threshold,$DL39&gt;0),1*Uplift*AWE*(External),0),0)</f>
        <v>0</v>
      </c>
      <c r="GQ39" s="200">
        <f t="shared" si="286"/>
        <v>0</v>
      </c>
      <c r="GR39" s="201">
        <f t="shared" si="287"/>
        <v>0</v>
      </c>
      <c r="GS39" s="203">
        <f t="shared" si="346"/>
        <v>0</v>
      </c>
      <c r="GT39" s="199">
        <f t="shared" ca="1" si="288"/>
        <v>0</v>
      </c>
      <c r="GU39" s="200">
        <f t="shared" si="289"/>
        <v>0</v>
      </c>
      <c r="GV39" s="201">
        <f t="shared" ca="1" si="290"/>
        <v>0</v>
      </c>
      <c r="GW39" s="200">
        <f t="shared" si="291"/>
        <v>0</v>
      </c>
      <c r="GX39" s="201" cm="1">
        <f t="array" ref="GX39">IF(LEFT($AG39,3)="Res",IF(OR($DW39&gt;External_Threshold,$DM39&gt;0),1*Uplift*AWE*(External),0),0)</f>
        <v>0</v>
      </c>
      <c r="GY39" s="200">
        <f t="shared" si="292"/>
        <v>0</v>
      </c>
      <c r="GZ39" s="201">
        <f t="shared" si="293"/>
        <v>0</v>
      </c>
      <c r="HA39" s="203">
        <f t="shared" si="347"/>
        <v>0</v>
      </c>
      <c r="HB39" s="54"/>
      <c r="HC39" s="54"/>
      <c r="HD39" s="54"/>
      <c r="HE39" s="54"/>
      <c r="HF39" s="54"/>
      <c r="HG39" s="201">
        <f t="shared" ca="1" si="348"/>
        <v>271794.10685294284</v>
      </c>
      <c r="HH39" s="201">
        <f t="shared" ca="1" si="349"/>
        <v>228591.60530939087</v>
      </c>
      <c r="HI39" s="201">
        <f t="shared" ca="1" si="350"/>
        <v>223065.67915687343</v>
      </c>
      <c r="HJ39" s="201">
        <f t="shared" ca="1" si="351"/>
        <v>209459.00797817297</v>
      </c>
      <c r="HK39" s="201">
        <f t="shared" ca="1" si="352"/>
        <v>180285.24645689208</v>
      </c>
      <c r="HL39" s="201">
        <f t="shared" ca="1" si="353"/>
        <v>149513.09728840142</v>
      </c>
      <c r="HM39" s="201">
        <f t="shared" ca="1" si="354"/>
        <v>0</v>
      </c>
      <c r="HN39" s="201">
        <f t="shared" ca="1" si="355"/>
        <v>0</v>
      </c>
      <c r="HO39" s="201">
        <f t="shared" ca="1" si="356"/>
        <v>0</v>
      </c>
      <c r="HP39" s="201">
        <f t="shared" ca="1" si="357"/>
        <v>0</v>
      </c>
      <c r="HQ39" s="54"/>
    </row>
    <row r="40" spans="1:225" x14ac:dyDescent="0.3">
      <c r="A40" s="513">
        <v>22</v>
      </c>
      <c r="B40" s="514" t="s">
        <v>445</v>
      </c>
      <c r="C40" s="514" t="s">
        <v>390</v>
      </c>
      <c r="D40" s="514" t="s">
        <v>390</v>
      </c>
      <c r="E40" s="513">
        <v>1</v>
      </c>
      <c r="F40" s="515">
        <v>4.99</v>
      </c>
      <c r="G40" s="515">
        <v>4.75</v>
      </c>
      <c r="H40" s="513">
        <v>2</v>
      </c>
      <c r="I40" s="517">
        <v>1</v>
      </c>
      <c r="J40" s="518" t="s">
        <v>44</v>
      </c>
      <c r="K40" s="513">
        <f t="shared" si="204"/>
        <v>240</v>
      </c>
      <c r="L40" s="519">
        <v>7.56</v>
      </c>
      <c r="M40" s="519">
        <v>6.55</v>
      </c>
      <c r="N40" s="519">
        <v>6.25</v>
      </c>
      <c r="O40" s="519">
        <v>5.95</v>
      </c>
      <c r="P40" s="519">
        <v>5.47</v>
      </c>
      <c r="Q40" s="519">
        <v>4.99</v>
      </c>
      <c r="R40" s="519">
        <v>4.1900000000000004</v>
      </c>
      <c r="S40" s="519">
        <v>0</v>
      </c>
      <c r="T40" s="519">
        <v>0</v>
      </c>
      <c r="U40" s="519">
        <v>0</v>
      </c>
      <c r="V40" s="536"/>
      <c r="W40" s="536"/>
      <c r="X40" s="536"/>
      <c r="Y40" s="536"/>
      <c r="Z40" s="536"/>
      <c r="AA40" s="536"/>
      <c r="AB40" s="536"/>
      <c r="AC40" s="536"/>
      <c r="AD40" s="536"/>
      <c r="AE40" s="536"/>
      <c r="AF40" s="54"/>
      <c r="AG40" s="204" t="str">
        <f t="shared" si="465"/>
        <v>Res1</v>
      </c>
      <c r="AH40" s="204">
        <f t="shared" si="294"/>
        <v>6</v>
      </c>
      <c r="AI40" s="204">
        <f t="shared" si="205"/>
        <v>1</v>
      </c>
      <c r="AJ40" s="54"/>
      <c r="AK40" s="74">
        <f>IFERROR(IF(H40&gt;4,0,AI40*Inputs!$C$55),0)</f>
        <v>2.6</v>
      </c>
      <c r="AL40" s="81">
        <f>IFERROR(Inputs!$C$73,0)</f>
        <v>5</v>
      </c>
      <c r="AM40" s="211">
        <f>IFERROR(Inputs!$C$74,0)</f>
        <v>0.24299999999999999</v>
      </c>
      <c r="AN40" s="446">
        <f>IFERROR(HLOOKUP(HLOOKUP(AN$17,$V$18:$AE40,COUNTA($AK$18:$AK40),FALSE),Inputs!$B$58:$H$59,2,FALSE),0)</f>
        <v>0</v>
      </c>
      <c r="AO40" s="447">
        <f t="shared" si="295"/>
        <v>0</v>
      </c>
      <c r="AP40" s="447">
        <f t="shared" si="296"/>
        <v>0</v>
      </c>
      <c r="AQ40" s="446">
        <f>IFERROR(HLOOKUP(HLOOKUP(AQ$17,$V$18:$AE40,COUNTA($AK$18:$AK40),FALSE),Inputs!$B$58:$H$59,2,FALSE),0)</f>
        <v>0</v>
      </c>
      <c r="AR40" s="447">
        <f t="shared" ref="AR40" si="595">2*$AK40*AQ40*$AL40/100*$AM40</f>
        <v>0</v>
      </c>
      <c r="AS40" s="447">
        <f t="shared" si="298"/>
        <v>0</v>
      </c>
      <c r="AT40" s="446">
        <f>IFERROR(HLOOKUP(HLOOKUP(AT$17,$V$18:$AE40,COUNTA($AK$18:$AK40),FALSE),Inputs!$B$58:$H$59,2,FALSE),0)</f>
        <v>0</v>
      </c>
      <c r="AU40" s="447">
        <f t="shared" ref="AU40" si="596">2*$AK40*AT40*$AL40/100*$AM40</f>
        <v>0</v>
      </c>
      <c r="AV40" s="447">
        <f t="shared" si="300"/>
        <v>0</v>
      </c>
      <c r="AW40" s="446">
        <f>IFERROR(HLOOKUP(HLOOKUP(AW$17,$V$18:$AE40,COUNTA($AK$18:$AK40),FALSE),Inputs!$B$58:$H$59,2,FALSE),0)</f>
        <v>0</v>
      </c>
      <c r="AX40" s="447">
        <f t="shared" ref="AX40" si="597">2*$AK40*AW40*$AL40/100*$AM40</f>
        <v>0</v>
      </c>
      <c r="AY40" s="447">
        <f t="shared" si="302"/>
        <v>0</v>
      </c>
      <c r="AZ40" s="446">
        <f>IFERROR(HLOOKUP(HLOOKUP(AZ$17,$V$18:$AE40,COUNTA($AK$18:$AK40),FALSE),Inputs!$B$58:$H$59,2,FALSE),0)</f>
        <v>0</v>
      </c>
      <c r="BA40" s="447">
        <f t="shared" ref="BA40" si="598">2*$AK40*AZ40*$AL40/100*$AM40</f>
        <v>0</v>
      </c>
      <c r="BB40" s="447">
        <f t="shared" si="304"/>
        <v>0</v>
      </c>
      <c r="BC40" s="446">
        <f>IFERROR(HLOOKUP(HLOOKUP(BC$17,$V$18:$AE40,COUNTA($AK$18:$AK40),FALSE),Inputs!$B$58:$H$59,2,FALSE),0)</f>
        <v>0</v>
      </c>
      <c r="BD40" s="447">
        <f t="shared" ref="BD40" si="599">2*$AK40*BC40*$AL40/100*$AM40</f>
        <v>0</v>
      </c>
      <c r="BE40" s="447">
        <f t="shared" si="306"/>
        <v>0</v>
      </c>
      <c r="BF40" s="446">
        <f>IFERROR(HLOOKUP(HLOOKUP(BF$17,$V$18:$AE40,COUNTA($AK$18:$AK40),FALSE),Inputs!$B$58:$H$59,2,FALSE),0)</f>
        <v>0</v>
      </c>
      <c r="BG40" s="447">
        <f t="shared" ref="BG40" si="600">2*$AK40*BF40*$AL40/100*$AM40</f>
        <v>0</v>
      </c>
      <c r="BH40" s="447">
        <f t="shared" si="308"/>
        <v>0</v>
      </c>
      <c r="BI40" s="446">
        <f>IFERROR(HLOOKUP(HLOOKUP(BI$17,$V$18:$AE40,COUNTA($AK$18:$AK40),FALSE),Inputs!$B$58:$H$59,2,FALSE),0)</f>
        <v>0</v>
      </c>
      <c r="BJ40" s="447">
        <f t="shared" ref="BJ40" si="601">2*$AK40*BI40*$AL40/100*$AM40</f>
        <v>0</v>
      </c>
      <c r="BK40" s="447">
        <f t="shared" si="310"/>
        <v>0</v>
      </c>
      <c r="BL40" s="446">
        <f>IFERROR(HLOOKUP(HLOOKUP(BL$17,$V$18:$AE40,COUNTA($AK$18:$AK40),FALSE),Inputs!$B$58:$H$59,2,FALSE),0)</f>
        <v>0</v>
      </c>
      <c r="BM40" s="447">
        <f t="shared" ref="BM40" si="602">2*$AK40*BL40*$AL40/100*$AM40</f>
        <v>0</v>
      </c>
      <c r="BN40" s="447">
        <f t="shared" si="312"/>
        <v>0</v>
      </c>
      <c r="BO40" s="446">
        <f>IFERROR(HLOOKUP(HLOOKUP(BO$17,$V$18:$AE40,COUNTA($AK$18:$AK40),FALSE),Inputs!$B$58:$H$59,2,FALSE),0)</f>
        <v>0</v>
      </c>
      <c r="BP40" s="447">
        <f t="shared" ref="BP40" si="603">2*$AK40*BO40*$AL40/100*$AM40</f>
        <v>0</v>
      </c>
      <c r="BQ40" s="447">
        <f t="shared" si="314"/>
        <v>0</v>
      </c>
      <c r="BR40" s="54"/>
      <c r="BS40" s="103">
        <f t="shared" ca="1" si="224"/>
        <v>4458.8414882657989</v>
      </c>
      <c r="BT40" s="103">
        <f t="shared" ca="1" si="396"/>
        <v>3260.6231759630109</v>
      </c>
      <c r="BU40" s="103">
        <f t="shared" si="397"/>
        <v>541.68672214182345</v>
      </c>
      <c r="BV40" s="103">
        <f t="shared" si="398"/>
        <v>0</v>
      </c>
      <c r="BW40" s="152">
        <f t="shared" ca="1" si="399"/>
        <v>8261.1513863706332</v>
      </c>
      <c r="BX40" s="441"/>
      <c r="BY40" s="96" t="str">
        <f>TEXT($S$10,"0%")&amp;" AEP"</f>
        <v>20% AEP</v>
      </c>
      <c r="BZ40" s="355">
        <f t="shared" ref="BZ40" si="604">SUM(BZ41:BZ42)</f>
        <v>0</v>
      </c>
      <c r="CA40" s="92">
        <f t="shared" ref="CA40" si="605">MAX(CA41:CA42)</f>
        <v>0</v>
      </c>
      <c r="CB40" s="93">
        <f ca="1">$GD$15</f>
        <v>0</v>
      </c>
      <c r="CC40" s="93" t="str">
        <f ca="1">$GD$14</f>
        <v>--</v>
      </c>
      <c r="CD40" s="54"/>
      <c r="CE40" s="96" t="str">
        <f>TEXT($S$10,"0%")&amp;" AEP"</f>
        <v>20% AEP</v>
      </c>
      <c r="CF40" s="355">
        <f t="shared" ref="CF40" si="606">SUM(CF41:CF42)</f>
        <v>0</v>
      </c>
      <c r="CG40" s="92">
        <f t="shared" ref="CG40" si="607">MAX(CG41:CG42)</f>
        <v>0</v>
      </c>
      <c r="CH40" s="93">
        <f ca="1">$GF$15</f>
        <v>0</v>
      </c>
      <c r="CI40" s="93" t="str">
        <f ca="1">$GF$14</f>
        <v>--</v>
      </c>
      <c r="CJ40" s="54"/>
      <c r="CK40" s="96" t="str">
        <f>TEXT($S$10,"0%")&amp;" AEP"</f>
        <v>20% AEP</v>
      </c>
      <c r="CL40" s="355">
        <f t="shared" ref="CL40" si="608">SUM(CL41:CL42)</f>
        <v>0</v>
      </c>
      <c r="CM40" s="92">
        <f t="shared" ref="CM40" si="609">MAX(CM41:CM42)</f>
        <v>0</v>
      </c>
      <c r="CN40" s="93">
        <f>$GH$15</f>
        <v>0</v>
      </c>
      <c r="CO40" s="93" t="str">
        <f>$GH$14</f>
        <v>--</v>
      </c>
      <c r="CP40" s="54"/>
      <c r="CQ40" s="96" t="str">
        <f>TEXT($S$10,"0%")&amp;" AEP"</f>
        <v>20% AEP</v>
      </c>
      <c r="CR40" s="355">
        <f t="shared" ref="CR40" si="610">SUM(CR41:CR42)</f>
        <v>0</v>
      </c>
      <c r="CS40" s="92">
        <f t="shared" ref="CS40" si="611">MAX(CS41:CS42)</f>
        <v>0</v>
      </c>
      <c r="CT40" s="93">
        <f>$GJ$15</f>
        <v>0</v>
      </c>
      <c r="CU40" s="93" t="str">
        <f>$GJ$14</f>
        <v>--</v>
      </c>
      <c r="CV40" s="54"/>
      <c r="CW40" s="96" t="str">
        <f>TEXT($S$10,"0%")&amp;" AEP"</f>
        <v>20% AEP</v>
      </c>
      <c r="CX40" s="355">
        <f t="shared" ref="CX40" si="612">SUM(CX41:CX42)</f>
        <v>0</v>
      </c>
      <c r="CY40" s="92">
        <f t="shared" ref="CY40" si="613">MAX(CY41:CY42)</f>
        <v>0</v>
      </c>
      <c r="CZ40" s="93">
        <f ca="1">SUM(DetailedStructural[[#This Row],[Total Damages]],DetailedInternal[[#This Row],[Total Damages]],DetailedExternal[[#This Row],[Total Damages]],DetailedRiskToLife[[#This Row],[Total Damages]])</f>
        <v>0</v>
      </c>
      <c r="DA40" s="93">
        <f ca="1">SUM(DetailedStructural[[#This Row],[AAD per Property]],DetailedInternal[[#This Row],[AAD per Property]],DetailedExternal[[#This Row],[AAD per Property]],DetailedRiskToLife[[#This Row],[AAD per Property]])</f>
        <v>0</v>
      </c>
      <c r="DB40" s="54"/>
      <c r="DC40" s="54"/>
      <c r="DD40" s="188">
        <f t="shared" si="315"/>
        <v>2.5699999999999994</v>
      </c>
      <c r="DE40" s="188">
        <f t="shared" si="316"/>
        <v>1.5599999999999996</v>
      </c>
      <c r="DF40" s="188">
        <f t="shared" si="317"/>
        <v>1.2599999999999998</v>
      </c>
      <c r="DG40" s="188">
        <f t="shared" si="318"/>
        <v>0.96</v>
      </c>
      <c r="DH40" s="188">
        <f t="shared" si="319"/>
        <v>0.47999999999999954</v>
      </c>
      <c r="DI40" s="188">
        <f t="shared" si="320"/>
        <v>0</v>
      </c>
      <c r="DJ40" s="188">
        <f t="shared" si="321"/>
        <v>-0.3</v>
      </c>
      <c r="DK40" s="188">
        <f t="shared" si="322"/>
        <v>-0.3</v>
      </c>
      <c r="DL40" s="188">
        <f t="shared" si="323"/>
        <v>-0.3</v>
      </c>
      <c r="DM40" s="188">
        <f t="shared" si="324"/>
        <v>-0.3</v>
      </c>
      <c r="DN40" s="189">
        <f t="shared" si="325"/>
        <v>2.8099999999999996</v>
      </c>
      <c r="DO40" s="189">
        <f t="shared" si="326"/>
        <v>1.7999999999999998</v>
      </c>
      <c r="DP40" s="189">
        <f t="shared" si="327"/>
        <v>1.5</v>
      </c>
      <c r="DQ40" s="189">
        <f t="shared" si="328"/>
        <v>1.2000000000000002</v>
      </c>
      <c r="DR40" s="189">
        <f t="shared" si="329"/>
        <v>0.71999999999999975</v>
      </c>
      <c r="DS40" s="189">
        <f t="shared" si="330"/>
        <v>0.24000000000000021</v>
      </c>
      <c r="DT40" s="189">
        <f t="shared" si="331"/>
        <v>0</v>
      </c>
      <c r="DU40" s="189">
        <f t="shared" si="332"/>
        <v>0</v>
      </c>
      <c r="DV40" s="189">
        <f t="shared" si="333"/>
        <v>0</v>
      </c>
      <c r="DW40" s="189">
        <f t="shared" si="334"/>
        <v>0</v>
      </c>
      <c r="DX40" s="54"/>
      <c r="DY40" s="54"/>
      <c r="DZ40" s="199">
        <f t="shared" ca="1" si="237"/>
        <v>189524.81572600099</v>
      </c>
      <c r="EA40" s="200">
        <f t="shared" si="335"/>
        <v>1</v>
      </c>
      <c r="EB40" s="201">
        <f t="shared" ca="1" si="238"/>
        <v>129139.423223123</v>
      </c>
      <c r="EC40" s="200">
        <f t="shared" si="336"/>
        <v>1</v>
      </c>
      <c r="ED40" s="201" cm="1">
        <f t="array" ref="ED40">IF(LEFT($AG40,3)="Res",IF(OR($DN40&gt;External_Threshold,$DD40&gt;0),1*Uplift*AWE*(External),0),0)</f>
        <v>15481.186685962373</v>
      </c>
      <c r="EE40" s="200">
        <f t="shared" si="337"/>
        <v>1</v>
      </c>
      <c r="EF40" s="201">
        <f t="shared" si="239"/>
        <v>0</v>
      </c>
      <c r="EG40" s="203">
        <f t="shared" si="338"/>
        <v>0</v>
      </c>
      <c r="EH40" s="199">
        <f t="shared" ca="1" si="240"/>
        <v>148450.13121080564</v>
      </c>
      <c r="EI40" s="200">
        <f t="shared" si="241"/>
        <v>1</v>
      </c>
      <c r="EJ40" s="201">
        <f t="shared" ca="1" si="242"/>
        <v>121322.26242158389</v>
      </c>
      <c r="EK40" s="200">
        <f t="shared" si="243"/>
        <v>1</v>
      </c>
      <c r="EL40" s="201" cm="1">
        <f t="array" ref="EL40">IF(LEFT($AG40,3)="Res",IF(OR($DO40&gt;External_Threshold,$DE40&gt;0),1*Uplift*AWE*(External),0),0)</f>
        <v>15481.186685962373</v>
      </c>
      <c r="EM40" s="200">
        <f t="shared" si="244"/>
        <v>1</v>
      </c>
      <c r="EN40" s="201">
        <f t="shared" si="245"/>
        <v>0</v>
      </c>
      <c r="EO40" s="203">
        <f t="shared" si="339"/>
        <v>0</v>
      </c>
      <c r="EP40" s="199">
        <f t="shared" ca="1" si="246"/>
        <v>133509.75397973953</v>
      </c>
      <c r="EQ40" s="200">
        <f t="shared" si="247"/>
        <v>1</v>
      </c>
      <c r="ER40" s="201">
        <f t="shared" ca="1" si="248"/>
        <v>115895.24884805368</v>
      </c>
      <c r="ES40" s="200">
        <f t="shared" si="249"/>
        <v>1</v>
      </c>
      <c r="ET40" s="201" cm="1">
        <f t="array" ref="ET40">IF(LEFT($AG40,3)="Res",IF(OR($DP40&gt;External_Threshold,$DF40&gt;0),1*Uplift*AWE*(External),0),0)</f>
        <v>15481.186685962373</v>
      </c>
      <c r="EU40" s="200">
        <f t="shared" si="250"/>
        <v>1</v>
      </c>
      <c r="EV40" s="201">
        <f t="shared" si="251"/>
        <v>0</v>
      </c>
      <c r="EW40" s="203">
        <f t="shared" si="340"/>
        <v>0</v>
      </c>
      <c r="EX40" s="199">
        <f t="shared" ca="1" si="252"/>
        <v>118183.37916063677</v>
      </c>
      <c r="EY40" s="200">
        <f t="shared" si="253"/>
        <v>1</v>
      </c>
      <c r="EZ40" s="201">
        <f t="shared" ca="1" si="254"/>
        <v>107384.23075001342</v>
      </c>
      <c r="FA40" s="200">
        <f t="shared" si="255"/>
        <v>1</v>
      </c>
      <c r="FB40" s="201" cm="1">
        <f t="array" ref="FB40">IF(LEFT($AG40,3)="Res",IF(OR($DQ40&gt;External_Threshold,$DG40&gt;0),1*Uplift*AWE*(External),0),0)</f>
        <v>15481.186685962373</v>
      </c>
      <c r="FC40" s="200">
        <f t="shared" si="256"/>
        <v>1</v>
      </c>
      <c r="FD40" s="201">
        <f t="shared" si="257"/>
        <v>0</v>
      </c>
      <c r="FE40" s="203">
        <f t="shared" si="341"/>
        <v>0</v>
      </c>
      <c r="FF40" s="199">
        <f t="shared" ca="1" si="258"/>
        <v>108987.5542691751</v>
      </c>
      <c r="FG40" s="200">
        <f t="shared" si="259"/>
        <v>1</v>
      </c>
      <c r="FH40" s="201">
        <f t="shared" ca="1" si="260"/>
        <v>78023.383954841789</v>
      </c>
      <c r="FI40" s="200">
        <f t="shared" si="261"/>
        <v>1</v>
      </c>
      <c r="FJ40" s="201" cm="1">
        <f t="array" ref="FJ40">IF(LEFT($AG40,3)="Res",IF(OR($DR40&gt;External_Threshold,$DH40&gt;0),1*Uplift*AWE*(External),0),0)</f>
        <v>15481.186685962373</v>
      </c>
      <c r="FK40" s="200">
        <f t="shared" si="262"/>
        <v>1</v>
      </c>
      <c r="FL40" s="201">
        <f t="shared" si="263"/>
        <v>0</v>
      </c>
      <c r="FM40" s="203">
        <f t="shared" si="342"/>
        <v>0</v>
      </c>
      <c r="FN40" s="199">
        <f t="shared" ca="1" si="264"/>
        <v>7492.8943560057887</v>
      </c>
      <c r="FO40" s="200">
        <f t="shared" si="265"/>
        <v>0</v>
      </c>
      <c r="FP40" s="201">
        <f t="shared" ca="1" si="266"/>
        <v>0</v>
      </c>
      <c r="FQ40" s="200">
        <f t="shared" si="267"/>
        <v>0</v>
      </c>
      <c r="FR40" s="201" cm="1">
        <f t="array" ref="FR40">IF(LEFT($AG40,3)="Res",IF(OR($DS40&gt;External_Threshold,$DI40&gt;0),1*Uplift*AWE*(External),0),0)</f>
        <v>0</v>
      </c>
      <c r="FS40" s="200">
        <f t="shared" si="268"/>
        <v>1</v>
      </c>
      <c r="FT40" s="201">
        <f t="shared" si="269"/>
        <v>0</v>
      </c>
      <c r="FU40" s="203">
        <f t="shared" si="343"/>
        <v>0</v>
      </c>
      <c r="FV40" s="199">
        <f t="shared" ca="1" si="270"/>
        <v>0</v>
      </c>
      <c r="FW40" s="200">
        <f t="shared" si="271"/>
        <v>0</v>
      </c>
      <c r="FX40" s="201">
        <f t="shared" ca="1" si="272"/>
        <v>0</v>
      </c>
      <c r="FY40" s="200">
        <f t="shared" si="273"/>
        <v>0</v>
      </c>
      <c r="FZ40" s="201" cm="1">
        <f t="array" ref="FZ40">IF(LEFT($AG40,3)="Res",IF(OR($DT40&gt;External_Threshold,$DJ40&gt;0),1*Uplift*AWE*(External),0),0)</f>
        <v>0</v>
      </c>
      <c r="GA40" s="200">
        <f t="shared" si="274"/>
        <v>0</v>
      </c>
      <c r="GB40" s="201">
        <f t="shared" si="275"/>
        <v>0</v>
      </c>
      <c r="GC40" s="203">
        <f t="shared" si="344"/>
        <v>0</v>
      </c>
      <c r="GD40" s="199">
        <f t="shared" ca="1" si="276"/>
        <v>0</v>
      </c>
      <c r="GE40" s="200">
        <f t="shared" si="277"/>
        <v>0</v>
      </c>
      <c r="GF40" s="201">
        <f t="shared" ca="1" si="278"/>
        <v>0</v>
      </c>
      <c r="GG40" s="200">
        <f t="shared" si="279"/>
        <v>0</v>
      </c>
      <c r="GH40" s="201" cm="1">
        <f t="array" ref="GH40">IF(LEFT($AG40,3)="Res",IF(OR($DU40&gt;External_Threshold,$DK40&gt;0),1*Uplift*AWE*(External),0),0)</f>
        <v>0</v>
      </c>
      <c r="GI40" s="200">
        <f t="shared" si="280"/>
        <v>0</v>
      </c>
      <c r="GJ40" s="201">
        <f t="shared" si="281"/>
        <v>0</v>
      </c>
      <c r="GK40" s="203">
        <f t="shared" si="345"/>
        <v>0</v>
      </c>
      <c r="GL40" s="199">
        <f t="shared" ca="1" si="282"/>
        <v>0</v>
      </c>
      <c r="GM40" s="200">
        <f t="shared" si="283"/>
        <v>0</v>
      </c>
      <c r="GN40" s="201">
        <f t="shared" ca="1" si="284"/>
        <v>0</v>
      </c>
      <c r="GO40" s="200">
        <f t="shared" si="285"/>
        <v>0</v>
      </c>
      <c r="GP40" s="201" cm="1">
        <f t="array" ref="GP40">IF(LEFT($AG40,3)="Res",IF(OR($DV40&gt;External_Threshold,$DL40&gt;0),1*Uplift*AWE*(External),0),0)</f>
        <v>0</v>
      </c>
      <c r="GQ40" s="200">
        <f t="shared" si="286"/>
        <v>0</v>
      </c>
      <c r="GR40" s="201">
        <f t="shared" si="287"/>
        <v>0</v>
      </c>
      <c r="GS40" s="203">
        <f t="shared" si="346"/>
        <v>0</v>
      </c>
      <c r="GT40" s="199">
        <f t="shared" ca="1" si="288"/>
        <v>0</v>
      </c>
      <c r="GU40" s="200">
        <f t="shared" si="289"/>
        <v>0</v>
      </c>
      <c r="GV40" s="201">
        <f t="shared" ca="1" si="290"/>
        <v>0</v>
      </c>
      <c r="GW40" s="200">
        <f t="shared" si="291"/>
        <v>0</v>
      </c>
      <c r="GX40" s="201" cm="1">
        <f t="array" ref="GX40">IF(LEFT($AG40,3)="Res",IF(OR($DW40&gt;External_Threshold,$DM40&gt;0),1*Uplift*AWE*(External),0),0)</f>
        <v>0</v>
      </c>
      <c r="GY40" s="200">
        <f t="shared" si="292"/>
        <v>0</v>
      </c>
      <c r="GZ40" s="201">
        <f t="shared" si="293"/>
        <v>0</v>
      </c>
      <c r="HA40" s="203">
        <f t="shared" si="347"/>
        <v>0</v>
      </c>
      <c r="HB40" s="54"/>
      <c r="HC40" s="54"/>
      <c r="HD40" s="54"/>
      <c r="HE40" s="54"/>
      <c r="HF40" s="54"/>
      <c r="HG40" s="201">
        <f t="shared" ca="1" si="348"/>
        <v>334145.42563508637</v>
      </c>
      <c r="HH40" s="201">
        <f t="shared" ca="1" si="349"/>
        <v>285253.58031835192</v>
      </c>
      <c r="HI40" s="201">
        <f t="shared" ca="1" si="350"/>
        <v>264886.18951375561</v>
      </c>
      <c r="HJ40" s="201">
        <f t="shared" ca="1" si="351"/>
        <v>241048.79659661255</v>
      </c>
      <c r="HK40" s="201">
        <f t="shared" ca="1" si="352"/>
        <v>202492.12490997926</v>
      </c>
      <c r="HL40" s="201">
        <f t="shared" ca="1" si="353"/>
        <v>7492.8943560057887</v>
      </c>
      <c r="HM40" s="201">
        <f t="shared" ca="1" si="354"/>
        <v>0</v>
      </c>
      <c r="HN40" s="201">
        <f t="shared" ca="1" si="355"/>
        <v>0</v>
      </c>
      <c r="HO40" s="201">
        <f t="shared" ca="1" si="356"/>
        <v>0</v>
      </c>
      <c r="HP40" s="201">
        <f t="shared" ca="1" si="357"/>
        <v>0</v>
      </c>
      <c r="HQ40" s="54"/>
    </row>
    <row r="41" spans="1:225" x14ac:dyDescent="0.3">
      <c r="A41" s="513">
        <v>23</v>
      </c>
      <c r="B41" s="514" t="s">
        <v>446</v>
      </c>
      <c r="C41" s="514" t="s">
        <v>390</v>
      </c>
      <c r="D41" s="514" t="s">
        <v>390</v>
      </c>
      <c r="E41" s="513">
        <v>1</v>
      </c>
      <c r="F41" s="515">
        <v>5.0999999999999996</v>
      </c>
      <c r="G41" s="515">
        <v>4.3</v>
      </c>
      <c r="H41" s="513">
        <v>1</v>
      </c>
      <c r="I41" s="517">
        <v>1</v>
      </c>
      <c r="J41" s="518" t="s">
        <v>295</v>
      </c>
      <c r="K41" s="513">
        <f t="shared" si="204"/>
        <v>220</v>
      </c>
      <c r="L41" s="519">
        <v>7.56</v>
      </c>
      <c r="M41" s="519">
        <v>6.55</v>
      </c>
      <c r="N41" s="519">
        <v>6.25</v>
      </c>
      <c r="O41" s="519">
        <v>5.95</v>
      </c>
      <c r="P41" s="519">
        <v>5.47</v>
      </c>
      <c r="Q41" s="519">
        <v>4.99</v>
      </c>
      <c r="R41" s="519">
        <v>4.1900000000000004</v>
      </c>
      <c r="S41" s="519">
        <v>0</v>
      </c>
      <c r="T41" s="519">
        <v>0</v>
      </c>
      <c r="U41" s="519">
        <v>0</v>
      </c>
      <c r="V41" s="536"/>
      <c r="W41" s="536"/>
      <c r="X41" s="536"/>
      <c r="Y41" s="536"/>
      <c r="Z41" s="536"/>
      <c r="AA41" s="536"/>
      <c r="AB41" s="536"/>
      <c r="AC41" s="536"/>
      <c r="AD41" s="536"/>
      <c r="AE41" s="536"/>
      <c r="AF41" s="54"/>
      <c r="AG41" s="204" t="str">
        <f t="shared" si="465"/>
        <v>Res1</v>
      </c>
      <c r="AH41" s="204">
        <f t="shared" si="294"/>
        <v>6</v>
      </c>
      <c r="AI41" s="204">
        <f t="shared" si="205"/>
        <v>1</v>
      </c>
      <c r="AJ41" s="54"/>
      <c r="AK41" s="74">
        <f>IFERROR(IF(H41&gt;4,0,AI41*Inputs!$C$55),0)</f>
        <v>2.6</v>
      </c>
      <c r="AL41" s="81">
        <f>IFERROR(Inputs!$C$73,0)</f>
        <v>5</v>
      </c>
      <c r="AM41" s="211">
        <f>IFERROR(Inputs!$C$74,0)</f>
        <v>0.24299999999999999</v>
      </c>
      <c r="AN41" s="446">
        <f>IFERROR(HLOOKUP(HLOOKUP(AN$17,$V$18:$AE41,COUNTA($AK$18:$AK41),FALSE),Inputs!$B$58:$H$59,2,FALSE),0)</f>
        <v>0</v>
      </c>
      <c r="AO41" s="447">
        <f t="shared" si="295"/>
        <v>0</v>
      </c>
      <c r="AP41" s="447">
        <f t="shared" si="296"/>
        <v>0</v>
      </c>
      <c r="AQ41" s="446">
        <f>IFERROR(HLOOKUP(HLOOKUP(AQ$17,$V$18:$AE41,COUNTA($AK$18:$AK41),FALSE),Inputs!$B$58:$H$59,2,FALSE),0)</f>
        <v>0</v>
      </c>
      <c r="AR41" s="447">
        <f t="shared" ref="AR41" si="614">2*$AK41*AQ41*$AL41/100*$AM41</f>
        <v>0</v>
      </c>
      <c r="AS41" s="447">
        <f t="shared" si="298"/>
        <v>0</v>
      </c>
      <c r="AT41" s="446">
        <f>IFERROR(HLOOKUP(HLOOKUP(AT$17,$V$18:$AE41,COUNTA($AK$18:$AK41),FALSE),Inputs!$B$58:$H$59,2,FALSE),0)</f>
        <v>0</v>
      </c>
      <c r="AU41" s="447">
        <f t="shared" ref="AU41" si="615">2*$AK41*AT41*$AL41/100*$AM41</f>
        <v>0</v>
      </c>
      <c r="AV41" s="447">
        <f t="shared" si="300"/>
        <v>0</v>
      </c>
      <c r="AW41" s="446">
        <f>IFERROR(HLOOKUP(HLOOKUP(AW$17,$V$18:$AE41,COUNTA($AK$18:$AK41),FALSE),Inputs!$B$58:$H$59,2,FALSE),0)</f>
        <v>0</v>
      </c>
      <c r="AX41" s="447">
        <f t="shared" ref="AX41" si="616">2*$AK41*AW41*$AL41/100*$AM41</f>
        <v>0</v>
      </c>
      <c r="AY41" s="447">
        <f t="shared" si="302"/>
        <v>0</v>
      </c>
      <c r="AZ41" s="446">
        <f>IFERROR(HLOOKUP(HLOOKUP(AZ$17,$V$18:$AE41,COUNTA($AK$18:$AK41),FALSE),Inputs!$B$58:$H$59,2,FALSE),0)</f>
        <v>0</v>
      </c>
      <c r="BA41" s="447">
        <f t="shared" ref="BA41" si="617">2*$AK41*AZ41*$AL41/100*$AM41</f>
        <v>0</v>
      </c>
      <c r="BB41" s="447">
        <f t="shared" si="304"/>
        <v>0</v>
      </c>
      <c r="BC41" s="446">
        <f>IFERROR(HLOOKUP(HLOOKUP(BC$17,$V$18:$AE41,COUNTA($AK$18:$AK41),FALSE),Inputs!$B$58:$H$59,2,FALSE),0)</f>
        <v>0</v>
      </c>
      <c r="BD41" s="447">
        <f t="shared" ref="BD41" si="618">2*$AK41*BC41*$AL41/100*$AM41</f>
        <v>0</v>
      </c>
      <c r="BE41" s="447">
        <f t="shared" si="306"/>
        <v>0</v>
      </c>
      <c r="BF41" s="446">
        <f>IFERROR(HLOOKUP(HLOOKUP(BF$17,$V$18:$AE41,COUNTA($AK$18:$AK41),FALSE),Inputs!$B$58:$H$59,2,FALSE),0)</f>
        <v>0</v>
      </c>
      <c r="BG41" s="447">
        <f t="shared" ref="BG41" si="619">2*$AK41*BF41*$AL41/100*$AM41</f>
        <v>0</v>
      </c>
      <c r="BH41" s="447">
        <f t="shared" si="308"/>
        <v>0</v>
      </c>
      <c r="BI41" s="446">
        <f>IFERROR(HLOOKUP(HLOOKUP(BI$17,$V$18:$AE41,COUNTA($AK$18:$AK41),FALSE),Inputs!$B$58:$H$59,2,FALSE),0)</f>
        <v>0</v>
      </c>
      <c r="BJ41" s="447">
        <f t="shared" ref="BJ41" si="620">2*$AK41*BI41*$AL41/100*$AM41</f>
        <v>0</v>
      </c>
      <c r="BK41" s="447">
        <f t="shared" si="310"/>
        <v>0</v>
      </c>
      <c r="BL41" s="446">
        <f>IFERROR(HLOOKUP(HLOOKUP(BL$17,$V$18:$AE41,COUNTA($AK$18:$AK41),FALSE),Inputs!$B$58:$H$59,2,FALSE),0)</f>
        <v>0</v>
      </c>
      <c r="BM41" s="447">
        <f t="shared" ref="BM41" si="621">2*$AK41*BL41*$AL41/100*$AM41</f>
        <v>0</v>
      </c>
      <c r="BN41" s="447">
        <f t="shared" si="312"/>
        <v>0</v>
      </c>
      <c r="BO41" s="446">
        <f>IFERROR(HLOOKUP(HLOOKUP(BO$17,$V$18:$AE41,COUNTA($AK$18:$AK41),FALSE),Inputs!$B$58:$H$59,2,FALSE),0)</f>
        <v>0</v>
      </c>
      <c r="BP41" s="447">
        <f t="shared" ref="BP41" si="622">2*$AK41*BO41*$AL41/100*$AM41</f>
        <v>0</v>
      </c>
      <c r="BQ41" s="447">
        <f t="shared" si="314"/>
        <v>0</v>
      </c>
      <c r="BR41" s="54"/>
      <c r="BS41" s="103">
        <f t="shared" ca="1" si="224"/>
        <v>4306.5083348480466</v>
      </c>
      <c r="BT41" s="103">
        <f t="shared" ca="1" si="396"/>
        <v>2960.3997309599608</v>
      </c>
      <c r="BU41" s="103">
        <f t="shared" si="397"/>
        <v>1160.9341895803186</v>
      </c>
      <c r="BV41" s="103">
        <f t="shared" si="398"/>
        <v>0</v>
      </c>
      <c r="BW41" s="152">
        <f t="shared" ca="1" si="399"/>
        <v>8427.8422553883265</v>
      </c>
      <c r="BX41" s="441"/>
      <c r="BY41" s="94" t="s">
        <v>91</v>
      </c>
      <c r="BZ41" s="356">
        <f>$DK$9</f>
        <v>0</v>
      </c>
      <c r="CA41" s="95">
        <f>$DK$7</f>
        <v>0</v>
      </c>
      <c r="CB41" s="79">
        <f ca="1">$GD$10</f>
        <v>0</v>
      </c>
      <c r="CC41" s="79" t="str">
        <f ca="1">$GD$9</f>
        <v>--</v>
      </c>
      <c r="CD41" s="54"/>
      <c r="CE41" s="94" t="s">
        <v>91</v>
      </c>
      <c r="CF41" s="356">
        <f>$DK$9</f>
        <v>0</v>
      </c>
      <c r="CG41" s="95">
        <f>$DK$7</f>
        <v>0</v>
      </c>
      <c r="CH41" s="79">
        <f ca="1">$GF$10</f>
        <v>0</v>
      </c>
      <c r="CI41" s="79" t="str">
        <f ca="1">$GF$9</f>
        <v>--</v>
      </c>
      <c r="CJ41" s="54"/>
      <c r="CK41" s="94" t="s">
        <v>91</v>
      </c>
      <c r="CL41" s="356">
        <f>$DU$9</f>
        <v>0</v>
      </c>
      <c r="CM41" s="95">
        <f>$DU$7</f>
        <v>0</v>
      </c>
      <c r="CN41" s="79">
        <f>$GH$10</f>
        <v>0</v>
      </c>
      <c r="CO41" s="79" t="str">
        <f>$GH$9</f>
        <v>--</v>
      </c>
      <c r="CP41" s="54"/>
      <c r="CQ41" s="94" t="s">
        <v>91</v>
      </c>
      <c r="CR41" s="356">
        <f>$DK$9</f>
        <v>0</v>
      </c>
      <c r="CS41" s="95">
        <f>$DK$7</f>
        <v>0</v>
      </c>
      <c r="CT41" s="79">
        <f>$GJ$10</f>
        <v>0</v>
      </c>
      <c r="CU41" s="79" t="str">
        <f>$GJ$9</f>
        <v>--</v>
      </c>
      <c r="CV41" s="54"/>
      <c r="CW41" s="94" t="s">
        <v>91</v>
      </c>
      <c r="CX41" s="356">
        <f>$DK$9</f>
        <v>0</v>
      </c>
      <c r="CY41" s="95">
        <f>$DK$7</f>
        <v>0</v>
      </c>
      <c r="CZ41" s="79">
        <f ca="1">SUM(DetailedStructural[[#This Row],[Total Damages]],DetailedInternal[[#This Row],[Total Damages]],DetailedExternal[[#This Row],[Total Damages]],DetailedRiskToLife[[#This Row],[Total Damages]])</f>
        <v>0</v>
      </c>
      <c r="DA41" s="79">
        <f ca="1">SUM(DetailedStructural[[#This Row],[AAD per Property]],DetailedInternal[[#This Row],[AAD per Property]],DetailedExternal[[#This Row],[AAD per Property]],DetailedRiskToLife[[#This Row],[AAD per Property]])</f>
        <v>0</v>
      </c>
      <c r="DB41" s="54"/>
      <c r="DC41" s="54"/>
      <c r="DD41" s="188">
        <f t="shared" si="315"/>
        <v>2.46</v>
      </c>
      <c r="DE41" s="188">
        <f t="shared" si="316"/>
        <v>1.4500000000000002</v>
      </c>
      <c r="DF41" s="188">
        <f t="shared" si="317"/>
        <v>1.1500000000000004</v>
      </c>
      <c r="DG41" s="188">
        <f t="shared" si="318"/>
        <v>0.85000000000000053</v>
      </c>
      <c r="DH41" s="188">
        <f t="shared" si="319"/>
        <v>0.37000000000000011</v>
      </c>
      <c r="DI41" s="188">
        <f t="shared" si="320"/>
        <v>-0.10999999999999943</v>
      </c>
      <c r="DJ41" s="188">
        <f t="shared" si="321"/>
        <v>-0.3</v>
      </c>
      <c r="DK41" s="188">
        <f t="shared" si="322"/>
        <v>-0.3</v>
      </c>
      <c r="DL41" s="188">
        <f t="shared" si="323"/>
        <v>-0.3</v>
      </c>
      <c r="DM41" s="188">
        <f t="shared" si="324"/>
        <v>-0.3</v>
      </c>
      <c r="DN41" s="189">
        <f t="shared" si="325"/>
        <v>3.26</v>
      </c>
      <c r="DO41" s="189">
        <f t="shared" si="326"/>
        <v>2.25</v>
      </c>
      <c r="DP41" s="189">
        <f t="shared" si="327"/>
        <v>1.9500000000000002</v>
      </c>
      <c r="DQ41" s="189">
        <f t="shared" si="328"/>
        <v>1.6500000000000004</v>
      </c>
      <c r="DR41" s="189">
        <f t="shared" si="329"/>
        <v>1.17</v>
      </c>
      <c r="DS41" s="189">
        <f t="shared" si="330"/>
        <v>0.69000000000000039</v>
      </c>
      <c r="DT41" s="189">
        <f t="shared" si="331"/>
        <v>0</v>
      </c>
      <c r="DU41" s="189">
        <f t="shared" si="332"/>
        <v>0</v>
      </c>
      <c r="DV41" s="189">
        <f t="shared" si="333"/>
        <v>0</v>
      </c>
      <c r="DW41" s="189">
        <f t="shared" si="334"/>
        <v>0</v>
      </c>
      <c r="DX41" s="54"/>
      <c r="DY41" s="54"/>
      <c r="DZ41" s="199">
        <f t="shared" ca="1" si="237"/>
        <v>184007.32079112399</v>
      </c>
      <c r="EA41" s="200">
        <f t="shared" si="335"/>
        <v>1</v>
      </c>
      <c r="EB41" s="201">
        <f t="shared" ca="1" si="238"/>
        <v>128859.47977295506</v>
      </c>
      <c r="EC41" s="200">
        <f t="shared" si="336"/>
        <v>1</v>
      </c>
      <c r="ED41" s="201" cm="1">
        <f t="array" ref="ED41">IF(LEFT($AG41,3)="Res",IF(OR($DN41&gt;External_Threshold,$DD41&gt;0),1*Uplift*AWE*(External),0),0)</f>
        <v>15481.186685962373</v>
      </c>
      <c r="EE41" s="200">
        <f t="shared" si="337"/>
        <v>1</v>
      </c>
      <c r="EF41" s="201">
        <f t="shared" si="239"/>
        <v>0</v>
      </c>
      <c r="EG41" s="203">
        <f t="shared" si="338"/>
        <v>0</v>
      </c>
      <c r="EH41" s="199">
        <f t="shared" ca="1" si="240"/>
        <v>144953.44717800291</v>
      </c>
      <c r="EI41" s="200">
        <f t="shared" si="241"/>
        <v>1</v>
      </c>
      <c r="EJ41" s="201">
        <f t="shared" ca="1" si="242"/>
        <v>119513.25789707383</v>
      </c>
      <c r="EK41" s="200">
        <f t="shared" si="243"/>
        <v>1</v>
      </c>
      <c r="EL41" s="201" cm="1">
        <f t="array" ref="EL41">IF(LEFT($AG41,3)="Res",IF(OR($DO41&gt;External_Threshold,$DE41&gt;0),1*Uplift*AWE*(External),0),0)</f>
        <v>15481.186685962373</v>
      </c>
      <c r="EM41" s="200">
        <f t="shared" si="244"/>
        <v>1</v>
      </c>
      <c r="EN41" s="201">
        <f t="shared" si="245"/>
        <v>0</v>
      </c>
      <c r="EO41" s="203">
        <f t="shared" si="339"/>
        <v>0</v>
      </c>
      <c r="EP41" s="199">
        <f t="shared" ca="1" si="246"/>
        <v>127787.90738060781</v>
      </c>
      <c r="EQ41" s="200">
        <f t="shared" si="247"/>
        <v>1</v>
      </c>
      <c r="ER41" s="201">
        <f t="shared" ca="1" si="248"/>
        <v>114086.24432354364</v>
      </c>
      <c r="ES41" s="200">
        <f t="shared" si="249"/>
        <v>1</v>
      </c>
      <c r="ET41" s="201" cm="1">
        <f t="array" ref="ET41">IF(LEFT($AG41,3)="Res",IF(OR($DP41&gt;External_Threshold,$DF41&gt;0),1*Uplift*AWE*(External),0),0)</f>
        <v>15481.186685962373</v>
      </c>
      <c r="EU41" s="200">
        <f t="shared" si="250"/>
        <v>1</v>
      </c>
      <c r="EV41" s="201">
        <f t="shared" si="251"/>
        <v>0</v>
      </c>
      <c r="EW41" s="203">
        <f t="shared" si="340"/>
        <v>0</v>
      </c>
      <c r="EX41" s="199">
        <f t="shared" ca="1" si="252"/>
        <v>116139.86251808972</v>
      </c>
      <c r="EY41" s="200">
        <f t="shared" si="253"/>
        <v>1</v>
      </c>
      <c r="EZ41" s="201">
        <f t="shared" ca="1" si="254"/>
        <v>99407.217176483216</v>
      </c>
      <c r="FA41" s="200">
        <f t="shared" si="255"/>
        <v>1</v>
      </c>
      <c r="FB41" s="201" cm="1">
        <f t="array" ref="FB41">IF(LEFT($AG41,3)="Res",IF(OR($DQ41&gt;External_Threshold,$DG41&gt;0),1*Uplift*AWE*(External),0),0)</f>
        <v>15481.186685962373</v>
      </c>
      <c r="FC41" s="200">
        <f t="shared" si="256"/>
        <v>1</v>
      </c>
      <c r="FD41" s="201">
        <f t="shared" si="257"/>
        <v>0</v>
      </c>
      <c r="FE41" s="203">
        <f t="shared" si="341"/>
        <v>0</v>
      </c>
      <c r="FF41" s="199">
        <f t="shared" ca="1" si="258"/>
        <v>108987.5542691751</v>
      </c>
      <c r="FG41" s="200">
        <f t="shared" si="259"/>
        <v>1</v>
      </c>
      <c r="FH41" s="201">
        <f t="shared" ca="1" si="260"/>
        <v>66604.993200743629</v>
      </c>
      <c r="FI41" s="200">
        <f t="shared" si="261"/>
        <v>1</v>
      </c>
      <c r="FJ41" s="201" cm="1">
        <f t="array" ref="FJ41">IF(LEFT($AG41,3)="Res",IF(OR($DR41&gt;External_Threshold,$DH41&gt;0),1*Uplift*AWE*(External),0),0)</f>
        <v>15481.186685962373</v>
      </c>
      <c r="FK41" s="200">
        <f t="shared" si="262"/>
        <v>1</v>
      </c>
      <c r="FL41" s="201">
        <f t="shared" si="263"/>
        <v>0</v>
      </c>
      <c r="FM41" s="203">
        <f t="shared" si="342"/>
        <v>0</v>
      </c>
      <c r="FN41" s="199">
        <f t="shared" ca="1" si="264"/>
        <v>4995.2629040038591</v>
      </c>
      <c r="FO41" s="200">
        <f t="shared" si="265"/>
        <v>0</v>
      </c>
      <c r="FP41" s="201">
        <f t="shared" ca="1" si="266"/>
        <v>0</v>
      </c>
      <c r="FQ41" s="200">
        <f t="shared" si="267"/>
        <v>0</v>
      </c>
      <c r="FR41" s="201" cm="1">
        <f t="array" ref="FR41">IF(LEFT($AG41,3)="Res",IF(OR($DS41&gt;External_Threshold,$DI41&gt;0),1*Uplift*AWE*(External),0),0)</f>
        <v>15481.186685962373</v>
      </c>
      <c r="FS41" s="200">
        <f t="shared" si="268"/>
        <v>1</v>
      </c>
      <c r="FT41" s="201">
        <f t="shared" si="269"/>
        <v>0</v>
      </c>
      <c r="FU41" s="203">
        <f t="shared" si="343"/>
        <v>0</v>
      </c>
      <c r="FV41" s="199">
        <f t="shared" ca="1" si="270"/>
        <v>0</v>
      </c>
      <c r="FW41" s="200">
        <f t="shared" si="271"/>
        <v>0</v>
      </c>
      <c r="FX41" s="201">
        <f t="shared" ca="1" si="272"/>
        <v>0</v>
      </c>
      <c r="FY41" s="200">
        <f t="shared" si="273"/>
        <v>0</v>
      </c>
      <c r="FZ41" s="201" cm="1">
        <f t="array" ref="FZ41">IF(LEFT($AG41,3)="Res",IF(OR($DT41&gt;External_Threshold,$DJ41&gt;0),1*Uplift*AWE*(External),0),0)</f>
        <v>0</v>
      </c>
      <c r="GA41" s="200">
        <f t="shared" si="274"/>
        <v>0</v>
      </c>
      <c r="GB41" s="201">
        <f t="shared" si="275"/>
        <v>0</v>
      </c>
      <c r="GC41" s="203">
        <f t="shared" si="344"/>
        <v>0</v>
      </c>
      <c r="GD41" s="199">
        <f t="shared" ca="1" si="276"/>
        <v>0</v>
      </c>
      <c r="GE41" s="200">
        <f t="shared" si="277"/>
        <v>0</v>
      </c>
      <c r="GF41" s="201">
        <f t="shared" ca="1" si="278"/>
        <v>0</v>
      </c>
      <c r="GG41" s="200">
        <f t="shared" si="279"/>
        <v>0</v>
      </c>
      <c r="GH41" s="201" cm="1">
        <f t="array" ref="GH41">IF(LEFT($AG41,3)="Res",IF(OR($DU41&gt;External_Threshold,$DK41&gt;0),1*Uplift*AWE*(External),0),0)</f>
        <v>0</v>
      </c>
      <c r="GI41" s="200">
        <f t="shared" si="280"/>
        <v>0</v>
      </c>
      <c r="GJ41" s="201">
        <f t="shared" si="281"/>
        <v>0</v>
      </c>
      <c r="GK41" s="203">
        <f t="shared" si="345"/>
        <v>0</v>
      </c>
      <c r="GL41" s="199">
        <f t="shared" ca="1" si="282"/>
        <v>0</v>
      </c>
      <c r="GM41" s="200">
        <f t="shared" si="283"/>
        <v>0</v>
      </c>
      <c r="GN41" s="201">
        <f t="shared" ca="1" si="284"/>
        <v>0</v>
      </c>
      <c r="GO41" s="200">
        <f t="shared" si="285"/>
        <v>0</v>
      </c>
      <c r="GP41" s="201" cm="1">
        <f t="array" ref="GP41">IF(LEFT($AG41,3)="Res",IF(OR($DV41&gt;External_Threshold,$DL41&gt;0),1*Uplift*AWE*(External),0),0)</f>
        <v>0</v>
      </c>
      <c r="GQ41" s="200">
        <f t="shared" si="286"/>
        <v>0</v>
      </c>
      <c r="GR41" s="201">
        <f t="shared" si="287"/>
        <v>0</v>
      </c>
      <c r="GS41" s="203">
        <f t="shared" si="346"/>
        <v>0</v>
      </c>
      <c r="GT41" s="199">
        <f t="shared" ca="1" si="288"/>
        <v>0</v>
      </c>
      <c r="GU41" s="200">
        <f t="shared" si="289"/>
        <v>0</v>
      </c>
      <c r="GV41" s="201">
        <f t="shared" ca="1" si="290"/>
        <v>0</v>
      </c>
      <c r="GW41" s="200">
        <f t="shared" si="291"/>
        <v>0</v>
      </c>
      <c r="GX41" s="201" cm="1">
        <f t="array" ref="GX41">IF(LEFT($AG41,3)="Res",IF(OR($DW41&gt;External_Threshold,$DM41&gt;0),1*Uplift*AWE*(External),0),0)</f>
        <v>0</v>
      </c>
      <c r="GY41" s="200">
        <f t="shared" si="292"/>
        <v>0</v>
      </c>
      <c r="GZ41" s="201">
        <f t="shared" si="293"/>
        <v>0</v>
      </c>
      <c r="HA41" s="203">
        <f t="shared" si="347"/>
        <v>0</v>
      </c>
      <c r="HB41" s="54"/>
      <c r="HC41" s="54"/>
      <c r="HD41" s="54"/>
      <c r="HE41" s="54"/>
      <c r="HF41" s="54"/>
      <c r="HG41" s="201">
        <f t="shared" ca="1" si="348"/>
        <v>328347.98725004145</v>
      </c>
      <c r="HH41" s="201">
        <f t="shared" ca="1" si="349"/>
        <v>279947.89176103909</v>
      </c>
      <c r="HI41" s="201">
        <f t="shared" ca="1" si="350"/>
        <v>257355.33839011381</v>
      </c>
      <c r="HJ41" s="201">
        <f t="shared" ca="1" si="351"/>
        <v>231028.26638053532</v>
      </c>
      <c r="HK41" s="201">
        <f t="shared" ca="1" si="352"/>
        <v>191073.7341558811</v>
      </c>
      <c r="HL41" s="201">
        <f t="shared" ca="1" si="353"/>
        <v>20476.449589966232</v>
      </c>
      <c r="HM41" s="201">
        <f t="shared" ca="1" si="354"/>
        <v>0</v>
      </c>
      <c r="HN41" s="201">
        <f t="shared" ca="1" si="355"/>
        <v>0</v>
      </c>
      <c r="HO41" s="201">
        <f t="shared" ca="1" si="356"/>
        <v>0</v>
      </c>
      <c r="HP41" s="201">
        <f t="shared" ca="1" si="357"/>
        <v>0</v>
      </c>
      <c r="HQ41" s="54"/>
    </row>
    <row r="42" spans="1:225" x14ac:dyDescent="0.3">
      <c r="A42" s="513">
        <v>24</v>
      </c>
      <c r="B42" s="514" t="s">
        <v>447</v>
      </c>
      <c r="C42" s="514" t="s">
        <v>390</v>
      </c>
      <c r="D42" s="514" t="s">
        <v>390</v>
      </c>
      <c r="E42" s="513">
        <v>1</v>
      </c>
      <c r="F42" s="515">
        <v>5.47</v>
      </c>
      <c r="G42" s="515">
        <v>5.14</v>
      </c>
      <c r="H42" s="513">
        <v>2</v>
      </c>
      <c r="I42" s="517">
        <v>1</v>
      </c>
      <c r="J42" s="518" t="s">
        <v>137</v>
      </c>
      <c r="K42" s="513">
        <f t="shared" si="204"/>
        <v>160</v>
      </c>
      <c r="L42" s="519">
        <v>7.56</v>
      </c>
      <c r="M42" s="519">
        <v>6.55</v>
      </c>
      <c r="N42" s="519">
        <v>6.25</v>
      </c>
      <c r="O42" s="519">
        <v>5.95</v>
      </c>
      <c r="P42" s="519">
        <v>5.47</v>
      </c>
      <c r="Q42" s="519">
        <v>4.99</v>
      </c>
      <c r="R42" s="519">
        <v>4.1900000000000004</v>
      </c>
      <c r="S42" s="519">
        <v>0</v>
      </c>
      <c r="T42" s="519">
        <v>0</v>
      </c>
      <c r="U42" s="519">
        <v>0</v>
      </c>
      <c r="V42" s="536"/>
      <c r="W42" s="536"/>
      <c r="X42" s="536"/>
      <c r="Y42" s="536"/>
      <c r="Z42" s="536"/>
      <c r="AA42" s="536"/>
      <c r="AB42" s="536"/>
      <c r="AC42" s="536"/>
      <c r="AD42" s="536"/>
      <c r="AE42" s="536"/>
      <c r="AF42" s="54"/>
      <c r="AG42" s="204" t="str">
        <f t="shared" si="465"/>
        <v>Res1</v>
      </c>
      <c r="AH42" s="204">
        <f t="shared" si="294"/>
        <v>7</v>
      </c>
      <c r="AI42" s="204">
        <f t="shared" si="205"/>
        <v>1</v>
      </c>
      <c r="AJ42" s="54"/>
      <c r="AK42" s="74">
        <f>IFERROR(IF(H42&gt;4,0,AI42*Inputs!$C$55),0)</f>
        <v>2.6</v>
      </c>
      <c r="AL42" s="81">
        <f>IFERROR(Inputs!$C$73,0)</f>
        <v>5</v>
      </c>
      <c r="AM42" s="211">
        <f>IFERROR(Inputs!$C$74,0)</f>
        <v>0.24299999999999999</v>
      </c>
      <c r="AN42" s="446">
        <f>IFERROR(HLOOKUP(HLOOKUP(AN$17,$V$18:$AE42,COUNTA($AK$18:$AK42),FALSE),Inputs!$B$58:$H$59,2,FALSE),0)</f>
        <v>0</v>
      </c>
      <c r="AO42" s="447">
        <f t="shared" si="295"/>
        <v>0</v>
      </c>
      <c r="AP42" s="447">
        <f t="shared" si="296"/>
        <v>0</v>
      </c>
      <c r="AQ42" s="446">
        <f>IFERROR(HLOOKUP(HLOOKUP(AQ$17,$V$18:$AE42,COUNTA($AK$18:$AK42),FALSE),Inputs!$B$58:$H$59,2,FALSE),0)</f>
        <v>0</v>
      </c>
      <c r="AR42" s="447">
        <f t="shared" ref="AR42" si="623">2*$AK42*AQ42*$AL42/100*$AM42</f>
        <v>0</v>
      </c>
      <c r="AS42" s="447">
        <f t="shared" si="298"/>
        <v>0</v>
      </c>
      <c r="AT42" s="446">
        <f>IFERROR(HLOOKUP(HLOOKUP(AT$17,$V$18:$AE42,COUNTA($AK$18:$AK42),FALSE),Inputs!$B$58:$H$59,2,FALSE),0)</f>
        <v>0</v>
      </c>
      <c r="AU42" s="447">
        <f t="shared" ref="AU42" si="624">2*$AK42*AT42*$AL42/100*$AM42</f>
        <v>0</v>
      </c>
      <c r="AV42" s="447">
        <f t="shared" si="300"/>
        <v>0</v>
      </c>
      <c r="AW42" s="446">
        <f>IFERROR(HLOOKUP(HLOOKUP(AW$17,$V$18:$AE42,COUNTA($AK$18:$AK42),FALSE),Inputs!$B$58:$H$59,2,FALSE),0)</f>
        <v>0</v>
      </c>
      <c r="AX42" s="447">
        <f t="shared" ref="AX42" si="625">2*$AK42*AW42*$AL42/100*$AM42</f>
        <v>0</v>
      </c>
      <c r="AY42" s="447">
        <f t="shared" si="302"/>
        <v>0</v>
      </c>
      <c r="AZ42" s="446">
        <f>IFERROR(HLOOKUP(HLOOKUP(AZ$17,$V$18:$AE42,COUNTA($AK$18:$AK42),FALSE),Inputs!$B$58:$H$59,2,FALSE),0)</f>
        <v>0</v>
      </c>
      <c r="BA42" s="447">
        <f t="shared" ref="BA42" si="626">2*$AK42*AZ42*$AL42/100*$AM42</f>
        <v>0</v>
      </c>
      <c r="BB42" s="447">
        <f t="shared" si="304"/>
        <v>0</v>
      </c>
      <c r="BC42" s="446">
        <f>IFERROR(HLOOKUP(HLOOKUP(BC$17,$V$18:$AE42,COUNTA($AK$18:$AK42),FALSE),Inputs!$B$58:$H$59,2,FALSE),0)</f>
        <v>0</v>
      </c>
      <c r="BD42" s="447">
        <f t="shared" ref="BD42" si="627">2*$AK42*BC42*$AL42/100*$AM42</f>
        <v>0</v>
      </c>
      <c r="BE42" s="447">
        <f t="shared" si="306"/>
        <v>0</v>
      </c>
      <c r="BF42" s="446">
        <f>IFERROR(HLOOKUP(HLOOKUP(BF$17,$V$18:$AE42,COUNTA($AK$18:$AK42),FALSE),Inputs!$B$58:$H$59,2,FALSE),0)</f>
        <v>0</v>
      </c>
      <c r="BG42" s="447">
        <f t="shared" ref="BG42" si="628">2*$AK42*BF42*$AL42/100*$AM42</f>
        <v>0</v>
      </c>
      <c r="BH42" s="447">
        <f t="shared" si="308"/>
        <v>0</v>
      </c>
      <c r="BI42" s="446">
        <f>IFERROR(HLOOKUP(HLOOKUP(BI$17,$V$18:$AE42,COUNTA($AK$18:$AK42),FALSE),Inputs!$B$58:$H$59,2,FALSE),0)</f>
        <v>0</v>
      </c>
      <c r="BJ42" s="447">
        <f t="shared" ref="BJ42" si="629">2*$AK42*BI42*$AL42/100*$AM42</f>
        <v>0</v>
      </c>
      <c r="BK42" s="447">
        <f t="shared" si="310"/>
        <v>0</v>
      </c>
      <c r="BL42" s="446">
        <f>IFERROR(HLOOKUP(HLOOKUP(BL$17,$V$18:$AE42,COUNTA($AK$18:$AK42),FALSE),Inputs!$B$58:$H$59,2,FALSE),0)</f>
        <v>0</v>
      </c>
      <c r="BM42" s="447">
        <f t="shared" ref="BM42" si="630">2*$AK42*BL42*$AL42/100*$AM42</f>
        <v>0</v>
      </c>
      <c r="BN42" s="447">
        <f t="shared" si="312"/>
        <v>0</v>
      </c>
      <c r="BO42" s="446">
        <f>IFERROR(HLOOKUP(HLOOKUP(BO$17,$V$18:$AE42,COUNTA($AK$18:$AK42),FALSE),Inputs!$B$58:$H$59,2,FALSE),0)</f>
        <v>0</v>
      </c>
      <c r="BP42" s="447">
        <f t="shared" ref="BP42" si="631">2*$AK42*BO42*$AL42/100*$AM42</f>
        <v>0</v>
      </c>
      <c r="BQ42" s="447">
        <f t="shared" si="314"/>
        <v>0</v>
      </c>
      <c r="BR42" s="54"/>
      <c r="BS42" s="103">
        <f t="shared" ca="1" si="224"/>
        <v>1741.1421774690466</v>
      </c>
      <c r="BT42" s="103">
        <f t="shared" ca="1" si="396"/>
        <v>1275.7811116764453</v>
      </c>
      <c r="BU42" s="103">
        <f t="shared" si="397"/>
        <v>541.68672214182345</v>
      </c>
      <c r="BV42" s="103">
        <f t="shared" si="398"/>
        <v>0</v>
      </c>
      <c r="BW42" s="152">
        <f t="shared" ca="1" si="399"/>
        <v>3558.6100112873155</v>
      </c>
      <c r="BX42" s="441"/>
      <c r="BY42" s="94" t="s">
        <v>92</v>
      </c>
      <c r="BZ42" s="356">
        <f>$DK$10</f>
        <v>0</v>
      </c>
      <c r="CA42" s="95">
        <f>$DK$8</f>
        <v>0</v>
      </c>
      <c r="CB42" s="79">
        <f ca="1">$GD$12</f>
        <v>0</v>
      </c>
      <c r="CC42" s="79" t="str">
        <f ca="1">$GD$11</f>
        <v>--</v>
      </c>
      <c r="CD42" s="54"/>
      <c r="CE42" s="94" t="s">
        <v>92</v>
      </c>
      <c r="CF42" s="356">
        <f>$DK$10</f>
        <v>0</v>
      </c>
      <c r="CG42" s="95">
        <f>$DK$8</f>
        <v>0</v>
      </c>
      <c r="CH42" s="79">
        <f ca="1">$GF$12</f>
        <v>0</v>
      </c>
      <c r="CI42" s="79" t="str">
        <f ca="1">$GF$11</f>
        <v>--</v>
      </c>
      <c r="CJ42" s="54"/>
      <c r="CK42" s="94" t="s">
        <v>92</v>
      </c>
      <c r="CL42" s="356">
        <f>$DU$10</f>
        <v>0</v>
      </c>
      <c r="CM42" s="95">
        <f>$DU$8</f>
        <v>0</v>
      </c>
      <c r="CN42" s="79">
        <f>$GH$12</f>
        <v>0</v>
      </c>
      <c r="CO42" s="79" t="str">
        <f>$GH$11</f>
        <v>--</v>
      </c>
      <c r="CP42" s="54"/>
      <c r="CQ42" s="94" t="s">
        <v>92</v>
      </c>
      <c r="CR42" s="356">
        <f>$DK$10</f>
        <v>0</v>
      </c>
      <c r="CS42" s="95">
        <f>$DK$8</f>
        <v>0</v>
      </c>
      <c r="CT42" s="79">
        <f>$GJ$12</f>
        <v>0</v>
      </c>
      <c r="CU42" s="79" t="str">
        <f>$GJ$11</f>
        <v>--</v>
      </c>
      <c r="CV42" s="54"/>
      <c r="CW42" s="94" t="s">
        <v>92</v>
      </c>
      <c r="CX42" s="356">
        <f>$DK$10</f>
        <v>0</v>
      </c>
      <c r="CY42" s="95">
        <f>$DK$8</f>
        <v>0</v>
      </c>
      <c r="CZ42" s="79">
        <f ca="1">SUM(DetailedStructural[[#This Row],[Total Damages]],DetailedInternal[[#This Row],[Total Damages]],DetailedExternal[[#This Row],[Total Damages]],DetailedRiskToLife[[#This Row],[Total Damages]])</f>
        <v>0</v>
      </c>
      <c r="DA42" s="79">
        <f ca="1">SUM(DetailedStructural[[#This Row],[AAD per Property]],DetailedInternal[[#This Row],[AAD per Property]],DetailedExternal[[#This Row],[AAD per Property]],DetailedRiskToLife[[#This Row],[AAD per Property]])</f>
        <v>0</v>
      </c>
      <c r="DB42" s="54"/>
      <c r="DC42" s="54"/>
      <c r="DD42" s="188">
        <f t="shared" si="315"/>
        <v>2.09</v>
      </c>
      <c r="DE42" s="188">
        <f t="shared" si="316"/>
        <v>1.08</v>
      </c>
      <c r="DF42" s="188">
        <f t="shared" si="317"/>
        <v>0.78000000000000025</v>
      </c>
      <c r="DG42" s="188">
        <f t="shared" si="318"/>
        <v>0.48000000000000043</v>
      </c>
      <c r="DH42" s="188">
        <f t="shared" si="319"/>
        <v>0</v>
      </c>
      <c r="DI42" s="188">
        <f t="shared" si="320"/>
        <v>-0.3</v>
      </c>
      <c r="DJ42" s="188">
        <f t="shared" si="321"/>
        <v>-0.3</v>
      </c>
      <c r="DK42" s="188">
        <f t="shared" si="322"/>
        <v>-0.3</v>
      </c>
      <c r="DL42" s="188">
        <f t="shared" si="323"/>
        <v>-0.3</v>
      </c>
      <c r="DM42" s="188">
        <f t="shared" si="324"/>
        <v>-0.3</v>
      </c>
      <c r="DN42" s="189">
        <f t="shared" si="325"/>
        <v>2.42</v>
      </c>
      <c r="DO42" s="189">
        <f t="shared" si="326"/>
        <v>1.4100000000000001</v>
      </c>
      <c r="DP42" s="189">
        <f t="shared" si="327"/>
        <v>1.1100000000000003</v>
      </c>
      <c r="DQ42" s="189">
        <f t="shared" si="328"/>
        <v>0.8100000000000005</v>
      </c>
      <c r="DR42" s="189">
        <f t="shared" si="329"/>
        <v>0.33000000000000007</v>
      </c>
      <c r="DS42" s="189">
        <f t="shared" si="330"/>
        <v>0</v>
      </c>
      <c r="DT42" s="189">
        <f t="shared" si="331"/>
        <v>0</v>
      </c>
      <c r="DU42" s="189">
        <f t="shared" si="332"/>
        <v>0</v>
      </c>
      <c r="DV42" s="189">
        <f t="shared" si="333"/>
        <v>0</v>
      </c>
      <c r="DW42" s="189">
        <f t="shared" si="334"/>
        <v>0</v>
      </c>
      <c r="DX42" s="54"/>
      <c r="DY42" s="54"/>
      <c r="DZ42" s="199">
        <f t="shared" ca="1" si="237"/>
        <v>147401.88285898056</v>
      </c>
      <c r="EA42" s="200">
        <f t="shared" si="335"/>
        <v>1</v>
      </c>
      <c r="EB42" s="201">
        <f t="shared" ca="1" si="238"/>
        <v>117691.55265329793</v>
      </c>
      <c r="EC42" s="200">
        <f t="shared" si="336"/>
        <v>1</v>
      </c>
      <c r="ED42" s="201" cm="1">
        <f t="array" ref="ED42">IF(LEFT($AG42,3)="Res",IF(OR($DN42&gt;External_Threshold,$DD42&gt;0),1*Uplift*AWE*(External),0),0)</f>
        <v>15481.186685962373</v>
      </c>
      <c r="EE42" s="200">
        <f t="shared" si="337"/>
        <v>1</v>
      </c>
      <c r="EF42" s="201">
        <f t="shared" si="239"/>
        <v>0</v>
      </c>
      <c r="EG42" s="203">
        <f t="shared" si="338"/>
        <v>0</v>
      </c>
      <c r="EH42" s="199">
        <f t="shared" ca="1" si="240"/>
        <v>114516.40207428849</v>
      </c>
      <c r="EI42" s="200">
        <f t="shared" si="241"/>
        <v>1</v>
      </c>
      <c r="EJ42" s="201">
        <f t="shared" ca="1" si="242"/>
        <v>105116.59688951455</v>
      </c>
      <c r="EK42" s="200">
        <f t="shared" si="243"/>
        <v>1</v>
      </c>
      <c r="EL42" s="201" cm="1">
        <f t="array" ref="EL42">IF(LEFT($AG42,3)="Res",IF(OR($DO42&gt;External_Threshold,$DE42&gt;0),1*Uplift*AWE*(External),0),0)</f>
        <v>15481.186685962373</v>
      </c>
      <c r="EM42" s="200">
        <f t="shared" si="244"/>
        <v>1</v>
      </c>
      <c r="EN42" s="201">
        <f t="shared" si="245"/>
        <v>0</v>
      </c>
      <c r="EO42" s="203">
        <f t="shared" si="339"/>
        <v>0</v>
      </c>
      <c r="EP42" s="199">
        <f t="shared" ca="1" si="246"/>
        <v>105524.92884708154</v>
      </c>
      <c r="EQ42" s="200">
        <f t="shared" si="247"/>
        <v>1</v>
      </c>
      <c r="ER42" s="201">
        <f t="shared" ca="1" si="248"/>
        <v>88408.817857241622</v>
      </c>
      <c r="ES42" s="200">
        <f t="shared" si="249"/>
        <v>1</v>
      </c>
      <c r="ET42" s="201" cm="1">
        <f t="array" ref="ET42">IF(LEFT($AG42,3)="Res",IF(OR($DP42&gt;External_Threshold,$DF42&gt;0),1*Uplift*AWE*(External),0),0)</f>
        <v>15481.186685962373</v>
      </c>
      <c r="EU42" s="200">
        <f t="shared" si="250"/>
        <v>1</v>
      </c>
      <c r="EV42" s="201">
        <f t="shared" si="251"/>
        <v>0</v>
      </c>
      <c r="EW42" s="203">
        <f t="shared" si="340"/>
        <v>0</v>
      </c>
      <c r="EX42" s="199">
        <f t="shared" ca="1" si="252"/>
        <v>99905.258080077183</v>
      </c>
      <c r="EY42" s="200">
        <f t="shared" si="253"/>
        <v>1</v>
      </c>
      <c r="EZ42" s="201">
        <f t="shared" ca="1" si="254"/>
        <v>72370.244815747836</v>
      </c>
      <c r="FA42" s="200">
        <f t="shared" si="255"/>
        <v>1</v>
      </c>
      <c r="FB42" s="201" cm="1">
        <f t="array" ref="FB42">IF(LEFT($AG42,3)="Res",IF(OR($DQ42&gt;External_Threshold,$DG42&gt;0),1*Uplift*AWE*(External),0),0)</f>
        <v>15481.186685962373</v>
      </c>
      <c r="FC42" s="200">
        <f t="shared" si="256"/>
        <v>1</v>
      </c>
      <c r="FD42" s="201">
        <f t="shared" si="257"/>
        <v>0</v>
      </c>
      <c r="FE42" s="203">
        <f t="shared" si="341"/>
        <v>0</v>
      </c>
      <c r="FF42" s="199">
        <f t="shared" ca="1" si="258"/>
        <v>6868.4864930053063</v>
      </c>
      <c r="FG42" s="200">
        <f t="shared" si="259"/>
        <v>0</v>
      </c>
      <c r="FH42" s="201">
        <f t="shared" ca="1" si="260"/>
        <v>0</v>
      </c>
      <c r="FI42" s="200">
        <f t="shared" si="261"/>
        <v>0</v>
      </c>
      <c r="FJ42" s="201" cm="1">
        <f t="array" ref="FJ42">IF(LEFT($AG42,3)="Res",IF(OR($DR42&gt;External_Threshold,$DH42&gt;0),1*Uplift*AWE*(External),0),0)</f>
        <v>15481.186685962373</v>
      </c>
      <c r="FK42" s="200">
        <f t="shared" si="262"/>
        <v>1</v>
      </c>
      <c r="FL42" s="201">
        <f t="shared" si="263"/>
        <v>0</v>
      </c>
      <c r="FM42" s="203">
        <f t="shared" si="342"/>
        <v>0</v>
      </c>
      <c r="FN42" s="199">
        <f t="shared" ca="1" si="264"/>
        <v>0</v>
      </c>
      <c r="FO42" s="200">
        <f t="shared" si="265"/>
        <v>0</v>
      </c>
      <c r="FP42" s="201">
        <f t="shared" ca="1" si="266"/>
        <v>0</v>
      </c>
      <c r="FQ42" s="200">
        <f t="shared" si="267"/>
        <v>0</v>
      </c>
      <c r="FR42" s="201" cm="1">
        <f t="array" ref="FR42">IF(LEFT($AG42,3)="Res",IF(OR($DS42&gt;External_Threshold,$DI42&gt;0),1*Uplift*AWE*(External),0),0)</f>
        <v>0</v>
      </c>
      <c r="FS42" s="200">
        <f t="shared" si="268"/>
        <v>0</v>
      </c>
      <c r="FT42" s="201">
        <f t="shared" si="269"/>
        <v>0</v>
      </c>
      <c r="FU42" s="203">
        <f t="shared" si="343"/>
        <v>0</v>
      </c>
      <c r="FV42" s="199">
        <f t="shared" ca="1" si="270"/>
        <v>0</v>
      </c>
      <c r="FW42" s="200">
        <f t="shared" si="271"/>
        <v>0</v>
      </c>
      <c r="FX42" s="201">
        <f t="shared" ca="1" si="272"/>
        <v>0</v>
      </c>
      <c r="FY42" s="200">
        <f t="shared" si="273"/>
        <v>0</v>
      </c>
      <c r="FZ42" s="201" cm="1">
        <f t="array" ref="FZ42">IF(LEFT($AG42,3)="Res",IF(OR($DT42&gt;External_Threshold,$DJ42&gt;0),1*Uplift*AWE*(External),0),0)</f>
        <v>0</v>
      </c>
      <c r="GA42" s="200">
        <f t="shared" si="274"/>
        <v>0</v>
      </c>
      <c r="GB42" s="201">
        <f t="shared" si="275"/>
        <v>0</v>
      </c>
      <c r="GC42" s="203">
        <f t="shared" si="344"/>
        <v>0</v>
      </c>
      <c r="GD42" s="199">
        <f t="shared" ca="1" si="276"/>
        <v>0</v>
      </c>
      <c r="GE42" s="200">
        <f t="shared" si="277"/>
        <v>0</v>
      </c>
      <c r="GF42" s="201">
        <f t="shared" ca="1" si="278"/>
        <v>0</v>
      </c>
      <c r="GG42" s="200">
        <f t="shared" si="279"/>
        <v>0</v>
      </c>
      <c r="GH42" s="201" cm="1">
        <f t="array" ref="GH42">IF(LEFT($AG42,3)="Res",IF(OR($DU42&gt;External_Threshold,$DK42&gt;0),1*Uplift*AWE*(External),0),0)</f>
        <v>0</v>
      </c>
      <c r="GI42" s="200">
        <f t="shared" si="280"/>
        <v>0</v>
      </c>
      <c r="GJ42" s="201">
        <f t="shared" si="281"/>
        <v>0</v>
      </c>
      <c r="GK42" s="203">
        <f t="shared" si="345"/>
        <v>0</v>
      </c>
      <c r="GL42" s="199">
        <f t="shared" ca="1" si="282"/>
        <v>0</v>
      </c>
      <c r="GM42" s="200">
        <f t="shared" si="283"/>
        <v>0</v>
      </c>
      <c r="GN42" s="201">
        <f t="shared" ca="1" si="284"/>
        <v>0</v>
      </c>
      <c r="GO42" s="200">
        <f t="shared" si="285"/>
        <v>0</v>
      </c>
      <c r="GP42" s="201" cm="1">
        <f t="array" ref="GP42">IF(LEFT($AG42,3)="Res",IF(OR($DV42&gt;External_Threshold,$DL42&gt;0),1*Uplift*AWE*(External),0),0)</f>
        <v>0</v>
      </c>
      <c r="GQ42" s="200">
        <f t="shared" si="286"/>
        <v>0</v>
      </c>
      <c r="GR42" s="201">
        <f t="shared" si="287"/>
        <v>0</v>
      </c>
      <c r="GS42" s="203">
        <f t="shared" si="346"/>
        <v>0</v>
      </c>
      <c r="GT42" s="199">
        <f t="shared" ca="1" si="288"/>
        <v>0</v>
      </c>
      <c r="GU42" s="200">
        <f t="shared" si="289"/>
        <v>0</v>
      </c>
      <c r="GV42" s="201">
        <f t="shared" ca="1" si="290"/>
        <v>0</v>
      </c>
      <c r="GW42" s="200">
        <f t="shared" si="291"/>
        <v>0</v>
      </c>
      <c r="GX42" s="201" cm="1">
        <f t="array" ref="GX42">IF(LEFT($AG42,3)="Res",IF(OR($DW42&gt;External_Threshold,$DM42&gt;0),1*Uplift*AWE*(External),0),0)</f>
        <v>0</v>
      </c>
      <c r="GY42" s="200">
        <f t="shared" si="292"/>
        <v>0</v>
      </c>
      <c r="GZ42" s="201">
        <f t="shared" si="293"/>
        <v>0</v>
      </c>
      <c r="HA42" s="203">
        <f t="shared" si="347"/>
        <v>0</v>
      </c>
      <c r="HB42" s="54"/>
      <c r="HC42" s="54"/>
      <c r="HD42" s="54"/>
      <c r="HE42" s="54"/>
      <c r="HF42" s="54"/>
      <c r="HG42" s="201">
        <f t="shared" ca="1" si="348"/>
        <v>280574.62219824083</v>
      </c>
      <c r="HH42" s="201">
        <f t="shared" ca="1" si="349"/>
        <v>235114.18564976542</v>
      </c>
      <c r="HI42" s="201">
        <f t="shared" ca="1" si="350"/>
        <v>209414.93339028553</v>
      </c>
      <c r="HJ42" s="201">
        <f t="shared" ca="1" si="351"/>
        <v>187756.68958178739</v>
      </c>
      <c r="HK42" s="201">
        <f t="shared" ca="1" si="352"/>
        <v>22349.673178967678</v>
      </c>
      <c r="HL42" s="201">
        <f t="shared" ca="1" si="353"/>
        <v>0</v>
      </c>
      <c r="HM42" s="201">
        <f t="shared" ca="1" si="354"/>
        <v>0</v>
      </c>
      <c r="HN42" s="201">
        <f t="shared" ca="1" si="355"/>
        <v>0</v>
      </c>
      <c r="HO42" s="201">
        <f t="shared" ca="1" si="356"/>
        <v>0</v>
      </c>
      <c r="HP42" s="201">
        <f t="shared" ca="1" si="357"/>
        <v>0</v>
      </c>
      <c r="HQ42" s="54"/>
    </row>
    <row r="43" spans="1:225" x14ac:dyDescent="0.3">
      <c r="A43" s="513">
        <v>25</v>
      </c>
      <c r="B43" s="514" t="s">
        <v>448</v>
      </c>
      <c r="C43" s="514" t="s">
        <v>390</v>
      </c>
      <c r="D43" s="514" t="s">
        <v>390</v>
      </c>
      <c r="E43" s="513">
        <v>1</v>
      </c>
      <c r="F43" s="515">
        <v>4.0599999999999996</v>
      </c>
      <c r="G43" s="515">
        <v>3.71</v>
      </c>
      <c r="H43" s="513">
        <v>2</v>
      </c>
      <c r="I43" s="517">
        <v>1</v>
      </c>
      <c r="J43" s="518" t="s">
        <v>295</v>
      </c>
      <c r="K43" s="513">
        <f t="shared" si="204"/>
        <v>220</v>
      </c>
      <c r="L43" s="519">
        <v>7.56</v>
      </c>
      <c r="M43" s="519">
        <v>6.55</v>
      </c>
      <c r="N43" s="519">
        <v>6.25</v>
      </c>
      <c r="O43" s="519">
        <v>5.95</v>
      </c>
      <c r="P43" s="519">
        <v>5.47</v>
      </c>
      <c r="Q43" s="519">
        <v>4.99</v>
      </c>
      <c r="R43" s="519">
        <v>4.1900000000000004</v>
      </c>
      <c r="S43" s="519">
        <v>0</v>
      </c>
      <c r="T43" s="519">
        <v>0</v>
      </c>
      <c r="U43" s="519">
        <v>0</v>
      </c>
      <c r="V43" s="536"/>
      <c r="W43" s="536"/>
      <c r="X43" s="536"/>
      <c r="Y43" s="536"/>
      <c r="Z43" s="536"/>
      <c r="AA43" s="536"/>
      <c r="AB43" s="536"/>
      <c r="AC43" s="536"/>
      <c r="AD43" s="536"/>
      <c r="AE43" s="536"/>
      <c r="AF43" s="54"/>
      <c r="AG43" s="204" t="str">
        <f t="shared" si="465"/>
        <v>Res1</v>
      </c>
      <c r="AH43" s="204">
        <f t="shared" si="294"/>
        <v>6</v>
      </c>
      <c r="AI43" s="204">
        <f t="shared" si="205"/>
        <v>1</v>
      </c>
      <c r="AJ43" s="54"/>
      <c r="AK43" s="74">
        <f>IFERROR(IF(H43&gt;4,0,AI43*Inputs!$C$55),0)</f>
        <v>2.6</v>
      </c>
      <c r="AL43" s="81">
        <f>IFERROR(Inputs!$C$73,0)</f>
        <v>5</v>
      </c>
      <c r="AM43" s="211">
        <f>IFERROR(Inputs!$C$74,0)</f>
        <v>0.24299999999999999</v>
      </c>
      <c r="AN43" s="446">
        <f>IFERROR(HLOOKUP(HLOOKUP(AN$17,$V$18:$AE43,COUNTA($AK$18:$AK43),FALSE),Inputs!$B$58:$H$59,2,FALSE),0)</f>
        <v>0</v>
      </c>
      <c r="AO43" s="447">
        <f t="shared" si="295"/>
        <v>0</v>
      </c>
      <c r="AP43" s="447">
        <f t="shared" si="296"/>
        <v>0</v>
      </c>
      <c r="AQ43" s="446">
        <f>IFERROR(HLOOKUP(HLOOKUP(AQ$17,$V$18:$AE43,COUNTA($AK$18:$AK43),FALSE),Inputs!$B$58:$H$59,2,FALSE),0)</f>
        <v>0</v>
      </c>
      <c r="AR43" s="447">
        <f t="shared" ref="AR43" si="632">2*$AK43*AQ43*$AL43/100*$AM43</f>
        <v>0</v>
      </c>
      <c r="AS43" s="447">
        <f t="shared" si="298"/>
        <v>0</v>
      </c>
      <c r="AT43" s="446">
        <f>IFERROR(HLOOKUP(HLOOKUP(AT$17,$V$18:$AE43,COUNTA($AK$18:$AK43),FALSE),Inputs!$B$58:$H$59,2,FALSE),0)</f>
        <v>0</v>
      </c>
      <c r="AU43" s="447">
        <f t="shared" ref="AU43" si="633">2*$AK43*AT43*$AL43/100*$AM43</f>
        <v>0</v>
      </c>
      <c r="AV43" s="447">
        <f t="shared" si="300"/>
        <v>0</v>
      </c>
      <c r="AW43" s="446">
        <f>IFERROR(HLOOKUP(HLOOKUP(AW$17,$V$18:$AE43,COUNTA($AK$18:$AK43),FALSE),Inputs!$B$58:$H$59,2,FALSE),0)</f>
        <v>0</v>
      </c>
      <c r="AX43" s="447">
        <f t="shared" ref="AX43" si="634">2*$AK43*AW43*$AL43/100*$AM43</f>
        <v>0</v>
      </c>
      <c r="AY43" s="447">
        <f t="shared" si="302"/>
        <v>0</v>
      </c>
      <c r="AZ43" s="446">
        <f>IFERROR(HLOOKUP(HLOOKUP(AZ$17,$V$18:$AE43,COUNTA($AK$18:$AK43),FALSE),Inputs!$B$58:$H$59,2,FALSE),0)</f>
        <v>0</v>
      </c>
      <c r="BA43" s="447">
        <f t="shared" ref="BA43" si="635">2*$AK43*AZ43*$AL43/100*$AM43</f>
        <v>0</v>
      </c>
      <c r="BB43" s="447">
        <f t="shared" si="304"/>
        <v>0</v>
      </c>
      <c r="BC43" s="446">
        <f>IFERROR(HLOOKUP(HLOOKUP(BC$17,$V$18:$AE43,COUNTA($AK$18:$AK43),FALSE),Inputs!$B$58:$H$59,2,FALSE),0)</f>
        <v>0</v>
      </c>
      <c r="BD43" s="447">
        <f t="shared" ref="BD43" si="636">2*$AK43*BC43*$AL43/100*$AM43</f>
        <v>0</v>
      </c>
      <c r="BE43" s="447">
        <f t="shared" si="306"/>
        <v>0</v>
      </c>
      <c r="BF43" s="446">
        <f>IFERROR(HLOOKUP(HLOOKUP(BF$17,$V$18:$AE43,COUNTA($AK$18:$AK43),FALSE),Inputs!$B$58:$H$59,2,FALSE),0)</f>
        <v>0</v>
      </c>
      <c r="BG43" s="447">
        <f t="shared" ref="BG43" si="637">2*$AK43*BF43*$AL43/100*$AM43</f>
        <v>0</v>
      </c>
      <c r="BH43" s="447">
        <f t="shared" si="308"/>
        <v>0</v>
      </c>
      <c r="BI43" s="446">
        <f>IFERROR(HLOOKUP(HLOOKUP(BI$17,$V$18:$AE43,COUNTA($AK$18:$AK43),FALSE),Inputs!$B$58:$H$59,2,FALSE),0)</f>
        <v>0</v>
      </c>
      <c r="BJ43" s="447">
        <f t="shared" ref="BJ43" si="638">2*$AK43*BI43*$AL43/100*$AM43</f>
        <v>0</v>
      </c>
      <c r="BK43" s="447">
        <f t="shared" si="310"/>
        <v>0</v>
      </c>
      <c r="BL43" s="446">
        <f>IFERROR(HLOOKUP(HLOOKUP(BL$17,$V$18:$AE43,COUNTA($AK$18:$AK43),FALSE),Inputs!$B$58:$H$59,2,FALSE),0)</f>
        <v>0</v>
      </c>
      <c r="BM43" s="447">
        <f t="shared" ref="BM43" si="639">2*$AK43*BL43*$AL43/100*$AM43</f>
        <v>0</v>
      </c>
      <c r="BN43" s="447">
        <f t="shared" si="312"/>
        <v>0</v>
      </c>
      <c r="BO43" s="446">
        <f>IFERROR(HLOOKUP(HLOOKUP(BO$17,$V$18:$AE43,COUNTA($AK$18:$AK43),FALSE),Inputs!$B$58:$H$59,2,FALSE),0)</f>
        <v>0</v>
      </c>
      <c r="BP43" s="447">
        <f t="shared" ref="BP43" si="640">2*$AK43*BO43*$AL43/100*$AM43</f>
        <v>0</v>
      </c>
      <c r="BQ43" s="447">
        <f t="shared" si="314"/>
        <v>0</v>
      </c>
      <c r="BR43" s="54"/>
      <c r="BS43" s="103">
        <f t="shared" ca="1" si="224"/>
        <v>17686.208538036666</v>
      </c>
      <c r="BT43" s="103">
        <f t="shared" ca="1" si="396"/>
        <v>11452.925143474327</v>
      </c>
      <c r="BU43" s="103">
        <f t="shared" si="397"/>
        <v>2322.023191027497</v>
      </c>
      <c r="BV43" s="103">
        <f t="shared" si="398"/>
        <v>0</v>
      </c>
      <c r="BW43" s="152">
        <f t="shared" ca="1" si="399"/>
        <v>31461.15687253849</v>
      </c>
      <c r="BX43" s="441"/>
      <c r="BY43" s="96" t="str">
        <f>TEXT($T$10,"0%")&amp;" AEP"</f>
        <v>50% AEP</v>
      </c>
      <c r="BZ43" s="355">
        <f t="shared" ref="BZ43" si="641">SUM(BZ44:BZ45)</f>
        <v>0</v>
      </c>
      <c r="CA43" s="92">
        <f t="shared" ref="CA43" si="642">MAX(CA44:CA45)</f>
        <v>0</v>
      </c>
      <c r="CB43" s="93">
        <f ca="1">$GL$15</f>
        <v>0</v>
      </c>
      <c r="CC43" s="93" t="str">
        <f ca="1">$GL$14</f>
        <v>--</v>
      </c>
      <c r="CD43" s="54"/>
      <c r="CE43" s="96" t="str">
        <f>TEXT($T$10,"0%")&amp;" AEP"</f>
        <v>50% AEP</v>
      </c>
      <c r="CF43" s="355">
        <f t="shared" ref="CF43" si="643">SUM(CF44:CF45)</f>
        <v>0</v>
      </c>
      <c r="CG43" s="92">
        <f t="shared" ref="CG43" si="644">MAX(CG44:CG45)</f>
        <v>0</v>
      </c>
      <c r="CH43" s="93">
        <f ca="1">$GN$15</f>
        <v>0</v>
      </c>
      <c r="CI43" s="93" t="str">
        <f ca="1">$GN$14</f>
        <v>--</v>
      </c>
      <c r="CJ43" s="54"/>
      <c r="CK43" s="96" t="str">
        <f>TEXT($T$10,"0%")&amp;" AEP"</f>
        <v>50% AEP</v>
      </c>
      <c r="CL43" s="355">
        <f t="shared" ref="CL43" si="645">SUM(CL44:CL45)</f>
        <v>0</v>
      </c>
      <c r="CM43" s="92">
        <f t="shared" ref="CM43" si="646">MAX(CM44:CM45)</f>
        <v>0</v>
      </c>
      <c r="CN43" s="93">
        <f>$GP$15</f>
        <v>0</v>
      </c>
      <c r="CO43" s="93" t="str">
        <f>$GP$14</f>
        <v>--</v>
      </c>
      <c r="CP43" s="54"/>
      <c r="CQ43" s="96" t="str">
        <f>TEXT($T$10,"0%")&amp;" AEP"</f>
        <v>50% AEP</v>
      </c>
      <c r="CR43" s="355">
        <f t="shared" ref="CR43" si="647">SUM(CR44:CR45)</f>
        <v>0</v>
      </c>
      <c r="CS43" s="92">
        <f t="shared" ref="CS43" si="648">MAX(CS44:CS45)</f>
        <v>0</v>
      </c>
      <c r="CT43" s="93">
        <f>$GR$15</f>
        <v>0</v>
      </c>
      <c r="CU43" s="93" t="str">
        <f>$GR$14</f>
        <v>--</v>
      </c>
      <c r="CV43" s="54"/>
      <c r="CW43" s="96" t="str">
        <f>TEXT($T$10,"0%")&amp;" AEP"</f>
        <v>50% AEP</v>
      </c>
      <c r="CX43" s="355">
        <f t="shared" ref="CX43" si="649">SUM(CX44:CX45)</f>
        <v>0</v>
      </c>
      <c r="CY43" s="92">
        <f t="shared" ref="CY43" si="650">MAX(CY44:CY45)</f>
        <v>0</v>
      </c>
      <c r="CZ43" s="93">
        <f ca="1">SUM(DetailedStructural[[#This Row],[Total Damages]],DetailedInternal[[#This Row],[Total Damages]],DetailedExternal[[#This Row],[Total Damages]],DetailedRiskToLife[[#This Row],[Total Damages]])</f>
        <v>0</v>
      </c>
      <c r="DA43" s="93">
        <f ca="1">SUM(DetailedStructural[[#This Row],[AAD per Property]],DetailedInternal[[#This Row],[AAD per Property]],DetailedExternal[[#This Row],[AAD per Property]],DetailedRiskToLife[[#This Row],[AAD per Property]])</f>
        <v>0</v>
      </c>
      <c r="DB43" s="54"/>
      <c r="DC43" s="54"/>
      <c r="DD43" s="188">
        <f t="shared" si="315"/>
        <v>3.5</v>
      </c>
      <c r="DE43" s="188">
        <f t="shared" si="316"/>
        <v>2.4900000000000002</v>
      </c>
      <c r="DF43" s="188">
        <f t="shared" si="317"/>
        <v>2.1900000000000004</v>
      </c>
      <c r="DG43" s="188">
        <f t="shared" si="318"/>
        <v>1.8900000000000006</v>
      </c>
      <c r="DH43" s="188">
        <f t="shared" si="319"/>
        <v>1.4100000000000001</v>
      </c>
      <c r="DI43" s="188">
        <f t="shared" si="320"/>
        <v>0.9300000000000006</v>
      </c>
      <c r="DJ43" s="188">
        <f t="shared" si="321"/>
        <v>0.13000000000000078</v>
      </c>
      <c r="DK43" s="188">
        <f t="shared" si="322"/>
        <v>-0.3</v>
      </c>
      <c r="DL43" s="188">
        <f t="shared" si="323"/>
        <v>-0.3</v>
      </c>
      <c r="DM43" s="188">
        <f t="shared" si="324"/>
        <v>-0.3</v>
      </c>
      <c r="DN43" s="189">
        <f t="shared" si="325"/>
        <v>3.8499999999999996</v>
      </c>
      <c r="DO43" s="189">
        <f t="shared" si="326"/>
        <v>2.84</v>
      </c>
      <c r="DP43" s="189">
        <f t="shared" si="327"/>
        <v>2.54</v>
      </c>
      <c r="DQ43" s="189">
        <f t="shared" si="328"/>
        <v>2.2400000000000002</v>
      </c>
      <c r="DR43" s="189">
        <f t="shared" si="329"/>
        <v>1.7599999999999998</v>
      </c>
      <c r="DS43" s="189">
        <f t="shared" si="330"/>
        <v>1.2800000000000002</v>
      </c>
      <c r="DT43" s="189">
        <f t="shared" si="331"/>
        <v>0.48000000000000043</v>
      </c>
      <c r="DU43" s="189">
        <f t="shared" si="332"/>
        <v>0</v>
      </c>
      <c r="DV43" s="189">
        <f t="shared" si="333"/>
        <v>0</v>
      </c>
      <c r="DW43" s="189">
        <f t="shared" si="334"/>
        <v>0</v>
      </c>
      <c r="DX43" s="54"/>
      <c r="DY43" s="54"/>
      <c r="DZ43" s="199">
        <f t="shared" ca="1" si="237"/>
        <v>209346.9271587072</v>
      </c>
      <c r="EA43" s="200">
        <f t="shared" si="335"/>
        <v>1</v>
      </c>
      <c r="EB43" s="201">
        <f t="shared" ca="1" si="238"/>
        <v>129139.423223123</v>
      </c>
      <c r="EC43" s="200">
        <f t="shared" si="336"/>
        <v>1</v>
      </c>
      <c r="ED43" s="201" cm="1">
        <f t="array" ref="ED43">IF(LEFT($AG43,3)="Res",IF(OR($DN43&gt;External_Threshold,$DD43&gt;0),1*Uplift*AWE*(External),0),0)</f>
        <v>15481.186685962373</v>
      </c>
      <c r="EE43" s="200">
        <f t="shared" si="337"/>
        <v>1</v>
      </c>
      <c r="EF43" s="201">
        <f t="shared" si="239"/>
        <v>0</v>
      </c>
      <c r="EG43" s="203">
        <f t="shared" si="338"/>
        <v>0</v>
      </c>
      <c r="EH43" s="199">
        <f t="shared" ca="1" si="240"/>
        <v>187322.35890014473</v>
      </c>
      <c r="EI43" s="200">
        <f t="shared" si="241"/>
        <v>1</v>
      </c>
      <c r="EJ43" s="201">
        <f t="shared" ca="1" si="242"/>
        <v>129139.423223123</v>
      </c>
      <c r="EK43" s="200">
        <f t="shared" si="243"/>
        <v>1</v>
      </c>
      <c r="EL43" s="201" cm="1">
        <f t="array" ref="EL43">IF(LEFT($AG43,3)="Res",IF(OR($DO43&gt;External_Threshold,$DE43&gt;0),1*Uplift*AWE*(External),0),0)</f>
        <v>15481.186685962373</v>
      </c>
      <c r="EM43" s="200">
        <f t="shared" si="244"/>
        <v>1</v>
      </c>
      <c r="EN43" s="201">
        <f t="shared" si="245"/>
        <v>0</v>
      </c>
      <c r="EO43" s="203">
        <f t="shared" si="339"/>
        <v>0</v>
      </c>
      <c r="EP43" s="199">
        <f t="shared" ca="1" si="246"/>
        <v>167432.13024602027</v>
      </c>
      <c r="EQ43" s="200">
        <f t="shared" si="247"/>
        <v>1</v>
      </c>
      <c r="ER43" s="201">
        <f t="shared" ca="1" si="248"/>
        <v>127459.7625221154</v>
      </c>
      <c r="ES43" s="200">
        <f t="shared" si="249"/>
        <v>1</v>
      </c>
      <c r="ET43" s="201" cm="1">
        <f t="array" ref="ET43">IF(LEFT($AG43,3)="Res",IF(OR($DP43&gt;External_Threshold,$DF43&gt;0),1*Uplift*AWE*(External),0),0)</f>
        <v>15481.186685962373</v>
      </c>
      <c r="EU43" s="200">
        <f t="shared" si="250"/>
        <v>1</v>
      </c>
      <c r="EV43" s="201">
        <f t="shared" si="251"/>
        <v>0</v>
      </c>
      <c r="EW43" s="203">
        <f t="shared" si="340"/>
        <v>0</v>
      </c>
      <c r="EX43" s="199">
        <f t="shared" ca="1" si="252"/>
        <v>152900.45634346359</v>
      </c>
      <c r="EY43" s="200">
        <f t="shared" si="253"/>
        <v>1</v>
      </c>
      <c r="EZ43" s="201">
        <f t="shared" ca="1" si="254"/>
        <v>125780.10182110779</v>
      </c>
      <c r="FA43" s="200">
        <f t="shared" si="255"/>
        <v>1</v>
      </c>
      <c r="FB43" s="201" cm="1">
        <f t="array" ref="FB43">IF(LEFT($AG43,3)="Res",IF(OR($DQ43&gt;External_Threshold,$DG43&gt;0),1*Uplift*AWE*(External),0),0)</f>
        <v>15481.186685962373</v>
      </c>
      <c r="FC43" s="200">
        <f t="shared" si="256"/>
        <v>1</v>
      </c>
      <c r="FD43" s="201">
        <f t="shared" si="257"/>
        <v>0</v>
      </c>
      <c r="FE43" s="203">
        <f t="shared" si="341"/>
        <v>0</v>
      </c>
      <c r="FF43" s="199">
        <f t="shared" ca="1" si="258"/>
        <v>142092.52387843709</v>
      </c>
      <c r="FG43" s="200">
        <f t="shared" si="259"/>
        <v>1</v>
      </c>
      <c r="FH43" s="201">
        <f t="shared" ca="1" si="260"/>
        <v>118608.75563481879</v>
      </c>
      <c r="FI43" s="200">
        <f t="shared" si="261"/>
        <v>1</v>
      </c>
      <c r="FJ43" s="201" cm="1">
        <f t="array" ref="FJ43">IF(LEFT($AG43,3)="Res",IF(OR($DR43&gt;External_Threshold,$DH43&gt;0),1*Uplift*AWE*(External),0),0)</f>
        <v>15481.186685962373</v>
      </c>
      <c r="FK43" s="200">
        <f t="shared" si="262"/>
        <v>1</v>
      </c>
      <c r="FL43" s="201">
        <f t="shared" si="263"/>
        <v>0</v>
      </c>
      <c r="FM43" s="203">
        <f t="shared" si="342"/>
        <v>0</v>
      </c>
      <c r="FN43" s="199">
        <f t="shared" ca="1" si="264"/>
        <v>118183.37916063677</v>
      </c>
      <c r="FO43" s="200">
        <f t="shared" si="265"/>
        <v>1</v>
      </c>
      <c r="FP43" s="201">
        <f t="shared" ca="1" si="266"/>
        <v>107384.23075001342</v>
      </c>
      <c r="FQ43" s="200">
        <f t="shared" si="267"/>
        <v>1</v>
      </c>
      <c r="FR43" s="201" cm="1">
        <f t="array" ref="FR43">IF(LEFT($AG43,3)="Res",IF(OR($DS43&gt;External_Threshold,$DI43&gt;0),1*Uplift*AWE*(External),0),0)</f>
        <v>15481.186685962373</v>
      </c>
      <c r="FS43" s="200">
        <f t="shared" si="268"/>
        <v>1</v>
      </c>
      <c r="FT43" s="201">
        <f t="shared" si="269"/>
        <v>0</v>
      </c>
      <c r="FU43" s="203">
        <f t="shared" si="343"/>
        <v>0</v>
      </c>
      <c r="FV43" s="199">
        <f t="shared" ca="1" si="270"/>
        <v>101664.95296671492</v>
      </c>
      <c r="FW43" s="200">
        <f t="shared" si="271"/>
        <v>1</v>
      </c>
      <c r="FX43" s="201">
        <f t="shared" ca="1" si="272"/>
        <v>38419.925333092608</v>
      </c>
      <c r="FY43" s="200">
        <f t="shared" si="273"/>
        <v>1</v>
      </c>
      <c r="FZ43" s="201" cm="1">
        <f t="array" ref="FZ43">IF(LEFT($AG43,3)="Res",IF(OR($DT43&gt;External_Threshold,$DJ43&gt;0),1*Uplift*AWE*(External),0),0)</f>
        <v>15481.186685962373</v>
      </c>
      <c r="GA43" s="200">
        <f t="shared" si="274"/>
        <v>1</v>
      </c>
      <c r="GB43" s="201">
        <f t="shared" si="275"/>
        <v>0</v>
      </c>
      <c r="GC43" s="203">
        <f t="shared" si="344"/>
        <v>0</v>
      </c>
      <c r="GD43" s="199">
        <f t="shared" ca="1" si="276"/>
        <v>0</v>
      </c>
      <c r="GE43" s="200">
        <f t="shared" si="277"/>
        <v>0</v>
      </c>
      <c r="GF43" s="201">
        <f t="shared" ca="1" si="278"/>
        <v>0</v>
      </c>
      <c r="GG43" s="200">
        <f t="shared" si="279"/>
        <v>0</v>
      </c>
      <c r="GH43" s="201" cm="1">
        <f t="array" ref="GH43">IF(LEFT($AG43,3)="Res",IF(OR($DU43&gt;External_Threshold,$DK43&gt;0),1*Uplift*AWE*(External),0),0)</f>
        <v>0</v>
      </c>
      <c r="GI43" s="200">
        <f t="shared" si="280"/>
        <v>0</v>
      </c>
      <c r="GJ43" s="201">
        <f t="shared" si="281"/>
        <v>0</v>
      </c>
      <c r="GK43" s="203">
        <f t="shared" si="345"/>
        <v>0</v>
      </c>
      <c r="GL43" s="199">
        <f t="shared" ca="1" si="282"/>
        <v>0</v>
      </c>
      <c r="GM43" s="200">
        <f t="shared" si="283"/>
        <v>0</v>
      </c>
      <c r="GN43" s="201">
        <f t="shared" ca="1" si="284"/>
        <v>0</v>
      </c>
      <c r="GO43" s="200">
        <f t="shared" si="285"/>
        <v>0</v>
      </c>
      <c r="GP43" s="201" cm="1">
        <f t="array" ref="GP43">IF(LEFT($AG43,3)="Res",IF(OR($DV43&gt;External_Threshold,$DL43&gt;0),1*Uplift*AWE*(External),0),0)</f>
        <v>0</v>
      </c>
      <c r="GQ43" s="200">
        <f t="shared" si="286"/>
        <v>0</v>
      </c>
      <c r="GR43" s="201">
        <f t="shared" si="287"/>
        <v>0</v>
      </c>
      <c r="GS43" s="203">
        <f t="shared" si="346"/>
        <v>0</v>
      </c>
      <c r="GT43" s="199">
        <f t="shared" ca="1" si="288"/>
        <v>0</v>
      </c>
      <c r="GU43" s="200">
        <f t="shared" si="289"/>
        <v>0</v>
      </c>
      <c r="GV43" s="201">
        <f t="shared" ca="1" si="290"/>
        <v>0</v>
      </c>
      <c r="GW43" s="200">
        <f t="shared" si="291"/>
        <v>0</v>
      </c>
      <c r="GX43" s="201" cm="1">
        <f t="array" ref="GX43">IF(LEFT($AG43,3)="Res",IF(OR($DW43&gt;External_Threshold,$DM43&gt;0),1*Uplift*AWE*(External),0),0)</f>
        <v>0</v>
      </c>
      <c r="GY43" s="200">
        <f t="shared" si="292"/>
        <v>0</v>
      </c>
      <c r="GZ43" s="201">
        <f t="shared" si="293"/>
        <v>0</v>
      </c>
      <c r="HA43" s="203">
        <f t="shared" si="347"/>
        <v>0</v>
      </c>
      <c r="HB43" s="54"/>
      <c r="HC43" s="54"/>
      <c r="HD43" s="54"/>
      <c r="HE43" s="54"/>
      <c r="HF43" s="54"/>
      <c r="HG43" s="201">
        <f t="shared" ca="1" si="348"/>
        <v>353967.53706779255</v>
      </c>
      <c r="HH43" s="201">
        <f t="shared" ca="1" si="349"/>
        <v>331942.96880923008</v>
      </c>
      <c r="HI43" s="201">
        <f t="shared" ca="1" si="350"/>
        <v>310373.07945409801</v>
      </c>
      <c r="HJ43" s="201">
        <f t="shared" ca="1" si="351"/>
        <v>294161.74485053378</v>
      </c>
      <c r="HK43" s="201">
        <f t="shared" ca="1" si="352"/>
        <v>276182.46619921824</v>
      </c>
      <c r="HL43" s="201">
        <f t="shared" ca="1" si="353"/>
        <v>241048.79659661255</v>
      </c>
      <c r="HM43" s="201">
        <f t="shared" ca="1" si="354"/>
        <v>155566.06498576989</v>
      </c>
      <c r="HN43" s="201">
        <f t="shared" ca="1" si="355"/>
        <v>0</v>
      </c>
      <c r="HO43" s="201">
        <f t="shared" ca="1" si="356"/>
        <v>0</v>
      </c>
      <c r="HP43" s="201">
        <f t="shared" ca="1" si="357"/>
        <v>0</v>
      </c>
      <c r="HQ43" s="54"/>
    </row>
    <row r="44" spans="1:225" x14ac:dyDescent="0.3">
      <c r="A44" s="513">
        <v>26</v>
      </c>
      <c r="B44" s="514" t="s">
        <v>449</v>
      </c>
      <c r="C44" s="514" t="s">
        <v>390</v>
      </c>
      <c r="D44" s="514" t="s">
        <v>390</v>
      </c>
      <c r="E44" s="513">
        <v>1</v>
      </c>
      <c r="F44" s="515">
        <v>5.51</v>
      </c>
      <c r="G44" s="515">
        <v>5.01</v>
      </c>
      <c r="H44" s="513">
        <v>2</v>
      </c>
      <c r="I44" s="517">
        <v>1</v>
      </c>
      <c r="J44" s="518" t="s">
        <v>295</v>
      </c>
      <c r="K44" s="513">
        <f t="shared" si="204"/>
        <v>220</v>
      </c>
      <c r="L44" s="519">
        <v>7.56</v>
      </c>
      <c r="M44" s="519">
        <v>6.55</v>
      </c>
      <c r="N44" s="519">
        <v>6.25</v>
      </c>
      <c r="O44" s="519">
        <v>5.95</v>
      </c>
      <c r="P44" s="519">
        <v>5.47</v>
      </c>
      <c r="Q44" s="519">
        <v>4.99</v>
      </c>
      <c r="R44" s="519">
        <v>4.1900000000000004</v>
      </c>
      <c r="S44" s="519">
        <v>0</v>
      </c>
      <c r="T44" s="519">
        <v>0</v>
      </c>
      <c r="U44" s="519">
        <v>0</v>
      </c>
      <c r="V44" s="536"/>
      <c r="W44" s="536"/>
      <c r="X44" s="536"/>
      <c r="Y44" s="536"/>
      <c r="Z44" s="536"/>
      <c r="AA44" s="536"/>
      <c r="AB44" s="536"/>
      <c r="AC44" s="536"/>
      <c r="AD44" s="536"/>
      <c r="AE44" s="536"/>
      <c r="AF44" s="54"/>
      <c r="AG44" s="204" t="str">
        <f t="shared" si="465"/>
        <v>Res1</v>
      </c>
      <c r="AH44" s="204">
        <f t="shared" si="294"/>
        <v>6</v>
      </c>
      <c r="AI44" s="204">
        <f t="shared" si="205"/>
        <v>1</v>
      </c>
      <c r="AJ44" s="54"/>
      <c r="AK44" s="74">
        <f>IFERROR(IF(H44&gt;4,0,AI44*Inputs!$C$55),0)</f>
        <v>2.6</v>
      </c>
      <c r="AL44" s="81">
        <f>IFERROR(Inputs!$C$73,0)</f>
        <v>5</v>
      </c>
      <c r="AM44" s="211">
        <f>IFERROR(Inputs!$C$74,0)</f>
        <v>0.24299999999999999</v>
      </c>
      <c r="AN44" s="446">
        <f>IFERROR(HLOOKUP(HLOOKUP(AN$17,$V$18:$AE44,COUNTA($AK$18:$AK44),FALSE),Inputs!$B$58:$H$59,2,FALSE),0)</f>
        <v>0</v>
      </c>
      <c r="AO44" s="447">
        <f t="shared" si="295"/>
        <v>0</v>
      </c>
      <c r="AP44" s="447">
        <f t="shared" si="296"/>
        <v>0</v>
      </c>
      <c r="AQ44" s="446">
        <f>IFERROR(HLOOKUP(HLOOKUP(AQ$17,$V$18:$AE44,COUNTA($AK$18:$AK44),FALSE),Inputs!$B$58:$H$59,2,FALSE),0)</f>
        <v>0</v>
      </c>
      <c r="AR44" s="447">
        <f t="shared" ref="AR44" si="651">2*$AK44*AQ44*$AL44/100*$AM44</f>
        <v>0</v>
      </c>
      <c r="AS44" s="447">
        <f t="shared" si="298"/>
        <v>0</v>
      </c>
      <c r="AT44" s="446">
        <f>IFERROR(HLOOKUP(HLOOKUP(AT$17,$V$18:$AE44,COUNTA($AK$18:$AK44),FALSE),Inputs!$B$58:$H$59,2,FALSE),0)</f>
        <v>0</v>
      </c>
      <c r="AU44" s="447">
        <f t="shared" ref="AU44" si="652">2*$AK44*AT44*$AL44/100*$AM44</f>
        <v>0</v>
      </c>
      <c r="AV44" s="447">
        <f t="shared" si="300"/>
        <v>0</v>
      </c>
      <c r="AW44" s="446">
        <f>IFERROR(HLOOKUP(HLOOKUP(AW$17,$V$18:$AE44,COUNTA($AK$18:$AK44),FALSE),Inputs!$B$58:$H$59,2,FALSE),0)</f>
        <v>0</v>
      </c>
      <c r="AX44" s="447">
        <f t="shared" ref="AX44" si="653">2*$AK44*AW44*$AL44/100*$AM44</f>
        <v>0</v>
      </c>
      <c r="AY44" s="447">
        <f t="shared" si="302"/>
        <v>0</v>
      </c>
      <c r="AZ44" s="446">
        <f>IFERROR(HLOOKUP(HLOOKUP(AZ$17,$V$18:$AE44,COUNTA($AK$18:$AK44),FALSE),Inputs!$B$58:$H$59,2,FALSE),0)</f>
        <v>0</v>
      </c>
      <c r="BA44" s="447">
        <f t="shared" ref="BA44" si="654">2*$AK44*AZ44*$AL44/100*$AM44</f>
        <v>0</v>
      </c>
      <c r="BB44" s="447">
        <f t="shared" si="304"/>
        <v>0</v>
      </c>
      <c r="BC44" s="446">
        <f>IFERROR(HLOOKUP(HLOOKUP(BC$17,$V$18:$AE44,COUNTA($AK$18:$AK44),FALSE),Inputs!$B$58:$H$59,2,FALSE),0)</f>
        <v>0</v>
      </c>
      <c r="BD44" s="447">
        <f t="shared" ref="BD44" si="655">2*$AK44*BC44*$AL44/100*$AM44</f>
        <v>0</v>
      </c>
      <c r="BE44" s="447">
        <f t="shared" si="306"/>
        <v>0</v>
      </c>
      <c r="BF44" s="446">
        <f>IFERROR(HLOOKUP(HLOOKUP(BF$17,$V$18:$AE44,COUNTA($AK$18:$AK44),FALSE),Inputs!$B$58:$H$59,2,FALSE),0)</f>
        <v>0</v>
      </c>
      <c r="BG44" s="447">
        <f t="shared" ref="BG44" si="656">2*$AK44*BF44*$AL44/100*$AM44</f>
        <v>0</v>
      </c>
      <c r="BH44" s="447">
        <f t="shared" si="308"/>
        <v>0</v>
      </c>
      <c r="BI44" s="446">
        <f>IFERROR(HLOOKUP(HLOOKUP(BI$17,$V$18:$AE44,COUNTA($AK$18:$AK44),FALSE),Inputs!$B$58:$H$59,2,FALSE),0)</f>
        <v>0</v>
      </c>
      <c r="BJ44" s="447">
        <f t="shared" ref="BJ44" si="657">2*$AK44*BI44*$AL44/100*$AM44</f>
        <v>0</v>
      </c>
      <c r="BK44" s="447">
        <f t="shared" si="310"/>
        <v>0</v>
      </c>
      <c r="BL44" s="446">
        <f>IFERROR(HLOOKUP(HLOOKUP(BL$17,$V$18:$AE44,COUNTA($AK$18:$AK44),FALSE),Inputs!$B$58:$H$59,2,FALSE),0)</f>
        <v>0</v>
      </c>
      <c r="BM44" s="447">
        <f t="shared" ref="BM44" si="658">2*$AK44*BL44*$AL44/100*$AM44</f>
        <v>0</v>
      </c>
      <c r="BN44" s="447">
        <f t="shared" si="312"/>
        <v>0</v>
      </c>
      <c r="BO44" s="446">
        <f>IFERROR(HLOOKUP(HLOOKUP(BO$17,$V$18:$AE44,COUNTA($AK$18:$AK44),FALSE),Inputs!$B$58:$H$59,2,FALSE),0)</f>
        <v>0</v>
      </c>
      <c r="BP44" s="447">
        <f t="shared" ref="BP44" si="659">2*$AK44*BO44*$AL44/100*$AM44</f>
        <v>0</v>
      </c>
      <c r="BQ44" s="447">
        <f t="shared" si="314"/>
        <v>0</v>
      </c>
      <c r="BR44" s="54"/>
      <c r="BS44" s="103">
        <f t="shared" ca="1" si="224"/>
        <v>1859.928015610227</v>
      </c>
      <c r="BT44" s="103">
        <f t="shared" ca="1" si="396"/>
        <v>1333.5223344257938</v>
      </c>
      <c r="BU44" s="103">
        <f t="shared" si="397"/>
        <v>541.68672214182345</v>
      </c>
      <c r="BV44" s="103">
        <f t="shared" si="398"/>
        <v>0</v>
      </c>
      <c r="BW44" s="152">
        <f t="shared" ca="1" si="399"/>
        <v>3735.1370721778439</v>
      </c>
      <c r="BX44" s="441"/>
      <c r="BY44" s="94" t="s">
        <v>91</v>
      </c>
      <c r="BZ44" s="356">
        <f>$DL$9</f>
        <v>0</v>
      </c>
      <c r="CA44" s="95">
        <f>$DL$7</f>
        <v>0</v>
      </c>
      <c r="CB44" s="79">
        <f ca="1">$GL$10</f>
        <v>0</v>
      </c>
      <c r="CC44" s="79" t="str">
        <f ca="1">$GL$9</f>
        <v>--</v>
      </c>
      <c r="CD44" s="54"/>
      <c r="CE44" s="94" t="s">
        <v>91</v>
      </c>
      <c r="CF44" s="356">
        <f>$DL$9</f>
        <v>0</v>
      </c>
      <c r="CG44" s="95">
        <f>$DL$7</f>
        <v>0</v>
      </c>
      <c r="CH44" s="79">
        <f ca="1">$GN$10</f>
        <v>0</v>
      </c>
      <c r="CI44" s="79" t="str">
        <f ca="1">$GN$9</f>
        <v>--</v>
      </c>
      <c r="CJ44" s="54"/>
      <c r="CK44" s="94" t="s">
        <v>91</v>
      </c>
      <c r="CL44" s="356">
        <f>$DV$9</f>
        <v>0</v>
      </c>
      <c r="CM44" s="95">
        <f>$DV$7</f>
        <v>0</v>
      </c>
      <c r="CN44" s="79">
        <f>$GP$10</f>
        <v>0</v>
      </c>
      <c r="CO44" s="79" t="str">
        <f>$GP$9</f>
        <v>--</v>
      </c>
      <c r="CP44" s="54"/>
      <c r="CQ44" s="94" t="s">
        <v>91</v>
      </c>
      <c r="CR44" s="356">
        <f>$DL$9</f>
        <v>0</v>
      </c>
      <c r="CS44" s="95">
        <f>$DL$7</f>
        <v>0</v>
      </c>
      <c r="CT44" s="79">
        <f>$GR$10</f>
        <v>0</v>
      </c>
      <c r="CU44" s="79" t="str">
        <f>$GR$9</f>
        <v>--</v>
      </c>
      <c r="CV44" s="54"/>
      <c r="CW44" s="94" t="s">
        <v>91</v>
      </c>
      <c r="CX44" s="356">
        <f>$DL$9</f>
        <v>0</v>
      </c>
      <c r="CY44" s="95">
        <f>$DL$7</f>
        <v>0</v>
      </c>
      <c r="CZ44" s="79">
        <f ca="1">SUM(DetailedStructural[[#This Row],[Total Damages]],DetailedInternal[[#This Row],[Total Damages]],DetailedExternal[[#This Row],[Total Damages]],DetailedRiskToLife[[#This Row],[Total Damages]])</f>
        <v>0</v>
      </c>
      <c r="DA44" s="79">
        <f ca="1">SUM(DetailedStructural[[#This Row],[AAD per Property]],DetailedInternal[[#This Row],[AAD per Property]],DetailedExternal[[#This Row],[AAD per Property]],DetailedRiskToLife[[#This Row],[AAD per Property]])</f>
        <v>0</v>
      </c>
      <c r="DB44" s="54"/>
      <c r="DC44" s="54"/>
      <c r="DD44" s="188">
        <f t="shared" si="315"/>
        <v>2.0499999999999998</v>
      </c>
      <c r="DE44" s="188">
        <f t="shared" si="316"/>
        <v>1.04</v>
      </c>
      <c r="DF44" s="188">
        <f t="shared" si="317"/>
        <v>0.74000000000000021</v>
      </c>
      <c r="DG44" s="188">
        <f t="shared" si="318"/>
        <v>0.44000000000000039</v>
      </c>
      <c r="DH44" s="188">
        <f t="shared" si="319"/>
        <v>-4.0000000000000036E-2</v>
      </c>
      <c r="DI44" s="188">
        <f t="shared" si="320"/>
        <v>-0.3</v>
      </c>
      <c r="DJ44" s="188">
        <f t="shared" si="321"/>
        <v>-0.3</v>
      </c>
      <c r="DK44" s="188">
        <f t="shared" si="322"/>
        <v>-0.3</v>
      </c>
      <c r="DL44" s="188">
        <f t="shared" si="323"/>
        <v>-0.3</v>
      </c>
      <c r="DM44" s="188">
        <f t="shared" si="324"/>
        <v>-0.3</v>
      </c>
      <c r="DN44" s="189">
        <f t="shared" si="325"/>
        <v>2.5499999999999998</v>
      </c>
      <c r="DO44" s="189">
        <f t="shared" si="326"/>
        <v>1.54</v>
      </c>
      <c r="DP44" s="189">
        <f t="shared" si="327"/>
        <v>1.2400000000000002</v>
      </c>
      <c r="DQ44" s="189">
        <f t="shared" si="328"/>
        <v>0.94000000000000039</v>
      </c>
      <c r="DR44" s="189">
        <f t="shared" si="329"/>
        <v>0.45999999999999996</v>
      </c>
      <c r="DS44" s="189">
        <f t="shared" si="330"/>
        <v>0</v>
      </c>
      <c r="DT44" s="189">
        <f t="shared" si="331"/>
        <v>0</v>
      </c>
      <c r="DU44" s="189">
        <f t="shared" si="332"/>
        <v>0</v>
      </c>
      <c r="DV44" s="189">
        <f t="shared" si="333"/>
        <v>0</v>
      </c>
      <c r="DW44" s="189">
        <f t="shared" si="334"/>
        <v>0</v>
      </c>
      <c r="DX44" s="54"/>
      <c r="DY44" s="54"/>
      <c r="DZ44" s="199">
        <f t="shared" ca="1" si="237"/>
        <v>157487.01591895803</v>
      </c>
      <c r="EA44" s="200">
        <f t="shared" si="335"/>
        <v>1</v>
      </c>
      <c r="EB44" s="201">
        <f t="shared" ca="1" si="238"/>
        <v>126619.93217161161</v>
      </c>
      <c r="EC44" s="200">
        <f t="shared" si="336"/>
        <v>1</v>
      </c>
      <c r="ED44" s="201" cm="1">
        <f t="array" ref="ED44">IF(LEFT($AG44,3)="Res",IF(OR($DN44&gt;External_Threshold,$DD44&gt;0),1*Uplift*AWE*(External),0),0)</f>
        <v>15481.186685962373</v>
      </c>
      <c r="EE44" s="200">
        <f t="shared" si="337"/>
        <v>1</v>
      </c>
      <c r="EF44" s="201">
        <f t="shared" si="239"/>
        <v>0</v>
      </c>
      <c r="EG44" s="203">
        <f t="shared" si="338"/>
        <v>0</v>
      </c>
      <c r="EH44" s="199">
        <f t="shared" ca="1" si="240"/>
        <v>122066.06078147615</v>
      </c>
      <c r="EI44" s="200">
        <f t="shared" si="241"/>
        <v>1</v>
      </c>
      <c r="EJ44" s="201">
        <f t="shared" ca="1" si="242"/>
        <v>112277.23979903357</v>
      </c>
      <c r="EK44" s="200">
        <f t="shared" si="243"/>
        <v>1</v>
      </c>
      <c r="EL44" s="201" cm="1">
        <f t="array" ref="EL44">IF(LEFT($AG44,3)="Res",IF(OR($DO44&gt;External_Threshold,$DE44&gt;0),1*Uplift*AWE*(External),0),0)</f>
        <v>15481.186685962373</v>
      </c>
      <c r="EM44" s="200">
        <f t="shared" si="244"/>
        <v>1</v>
      </c>
      <c r="EN44" s="201">
        <f t="shared" si="245"/>
        <v>0</v>
      </c>
      <c r="EO44" s="203">
        <f t="shared" si="339"/>
        <v>0</v>
      </c>
      <c r="EP44" s="199">
        <f t="shared" ca="1" si="246"/>
        <v>114096.3458755427</v>
      </c>
      <c r="EQ44" s="200">
        <f t="shared" si="247"/>
        <v>1</v>
      </c>
      <c r="ER44" s="201">
        <f t="shared" ca="1" si="248"/>
        <v>92519.489317238709</v>
      </c>
      <c r="ES44" s="200">
        <f t="shared" si="249"/>
        <v>1</v>
      </c>
      <c r="ET44" s="201" cm="1">
        <f t="array" ref="ET44">IF(LEFT($AG44,3)="Res",IF(OR($DP44&gt;External_Threshold,$DF44&gt;0),1*Uplift*AWE*(External),0),0)</f>
        <v>15481.186685962373</v>
      </c>
      <c r="EU44" s="200">
        <f t="shared" si="250"/>
        <v>1</v>
      </c>
      <c r="EV44" s="201">
        <f t="shared" si="251"/>
        <v>0</v>
      </c>
      <c r="EW44" s="203">
        <f t="shared" si="340"/>
        <v>0</v>
      </c>
      <c r="EX44" s="199">
        <f t="shared" ca="1" si="252"/>
        <v>108987.5542691751</v>
      </c>
      <c r="EY44" s="200">
        <f t="shared" si="253"/>
        <v>1</v>
      </c>
      <c r="EZ44" s="201">
        <f t="shared" ca="1" si="254"/>
        <v>74310.110846332886</v>
      </c>
      <c r="FA44" s="200">
        <f t="shared" si="255"/>
        <v>1</v>
      </c>
      <c r="FB44" s="201" cm="1">
        <f t="array" ref="FB44">IF(LEFT($AG44,3)="Res",IF(OR($DQ44&gt;External_Threshold,$DG44&gt;0),1*Uplift*AWE*(External),0),0)</f>
        <v>15481.186685962373</v>
      </c>
      <c r="FC44" s="200">
        <f t="shared" si="256"/>
        <v>1</v>
      </c>
      <c r="FD44" s="201">
        <f t="shared" si="257"/>
        <v>0</v>
      </c>
      <c r="FE44" s="203">
        <f t="shared" si="341"/>
        <v>0</v>
      </c>
      <c r="FF44" s="199">
        <f t="shared" ca="1" si="258"/>
        <v>6244.0786300048239</v>
      </c>
      <c r="FG44" s="200">
        <f t="shared" si="259"/>
        <v>0</v>
      </c>
      <c r="FH44" s="201">
        <f t="shared" ca="1" si="260"/>
        <v>0</v>
      </c>
      <c r="FI44" s="200">
        <f t="shared" si="261"/>
        <v>0</v>
      </c>
      <c r="FJ44" s="201" cm="1">
        <f t="array" ref="FJ44">IF(LEFT($AG44,3)="Res",IF(OR($DR44&gt;External_Threshold,$DH44&gt;0),1*Uplift*AWE*(External),0),0)</f>
        <v>15481.186685962373</v>
      </c>
      <c r="FK44" s="200">
        <f t="shared" si="262"/>
        <v>1</v>
      </c>
      <c r="FL44" s="201">
        <f t="shared" si="263"/>
        <v>0</v>
      </c>
      <c r="FM44" s="203">
        <f t="shared" si="342"/>
        <v>0</v>
      </c>
      <c r="FN44" s="199">
        <f t="shared" ca="1" si="264"/>
        <v>0</v>
      </c>
      <c r="FO44" s="200">
        <f t="shared" si="265"/>
        <v>0</v>
      </c>
      <c r="FP44" s="201">
        <f t="shared" ca="1" si="266"/>
        <v>0</v>
      </c>
      <c r="FQ44" s="200">
        <f t="shared" si="267"/>
        <v>0</v>
      </c>
      <c r="FR44" s="201" cm="1">
        <f t="array" ref="FR44">IF(LEFT($AG44,3)="Res",IF(OR($DS44&gt;External_Threshold,$DI44&gt;0),1*Uplift*AWE*(External),0),0)</f>
        <v>0</v>
      </c>
      <c r="FS44" s="200">
        <f t="shared" si="268"/>
        <v>0</v>
      </c>
      <c r="FT44" s="201">
        <f t="shared" si="269"/>
        <v>0</v>
      </c>
      <c r="FU44" s="203">
        <f t="shared" si="343"/>
        <v>0</v>
      </c>
      <c r="FV44" s="199">
        <f t="shared" ca="1" si="270"/>
        <v>0</v>
      </c>
      <c r="FW44" s="200">
        <f t="shared" si="271"/>
        <v>0</v>
      </c>
      <c r="FX44" s="201">
        <f t="shared" ca="1" si="272"/>
        <v>0</v>
      </c>
      <c r="FY44" s="200">
        <f t="shared" si="273"/>
        <v>0</v>
      </c>
      <c r="FZ44" s="201" cm="1">
        <f t="array" ref="FZ44">IF(LEFT($AG44,3)="Res",IF(OR($DT44&gt;External_Threshold,$DJ44&gt;0),1*Uplift*AWE*(External),0),0)</f>
        <v>0</v>
      </c>
      <c r="GA44" s="200">
        <f t="shared" si="274"/>
        <v>0</v>
      </c>
      <c r="GB44" s="201">
        <f t="shared" si="275"/>
        <v>0</v>
      </c>
      <c r="GC44" s="203">
        <f t="shared" si="344"/>
        <v>0</v>
      </c>
      <c r="GD44" s="199">
        <f t="shared" ca="1" si="276"/>
        <v>0</v>
      </c>
      <c r="GE44" s="200">
        <f t="shared" si="277"/>
        <v>0</v>
      </c>
      <c r="GF44" s="201">
        <f t="shared" ca="1" si="278"/>
        <v>0</v>
      </c>
      <c r="GG44" s="200">
        <f t="shared" si="279"/>
        <v>0</v>
      </c>
      <c r="GH44" s="201" cm="1">
        <f t="array" ref="GH44">IF(LEFT($AG44,3)="Res",IF(OR($DU44&gt;External_Threshold,$DK44&gt;0),1*Uplift*AWE*(External),0),0)</f>
        <v>0</v>
      </c>
      <c r="GI44" s="200">
        <f t="shared" si="280"/>
        <v>0</v>
      </c>
      <c r="GJ44" s="201">
        <f t="shared" si="281"/>
        <v>0</v>
      </c>
      <c r="GK44" s="203">
        <f t="shared" si="345"/>
        <v>0</v>
      </c>
      <c r="GL44" s="199">
        <f t="shared" ca="1" si="282"/>
        <v>0</v>
      </c>
      <c r="GM44" s="200">
        <f t="shared" si="283"/>
        <v>0</v>
      </c>
      <c r="GN44" s="201">
        <f t="shared" ca="1" si="284"/>
        <v>0</v>
      </c>
      <c r="GO44" s="200">
        <f t="shared" si="285"/>
        <v>0</v>
      </c>
      <c r="GP44" s="201" cm="1">
        <f t="array" ref="GP44">IF(LEFT($AG44,3)="Res",IF(OR($DV44&gt;External_Threshold,$DL44&gt;0),1*Uplift*AWE*(External),0),0)</f>
        <v>0</v>
      </c>
      <c r="GQ44" s="200">
        <f t="shared" si="286"/>
        <v>0</v>
      </c>
      <c r="GR44" s="201">
        <f t="shared" si="287"/>
        <v>0</v>
      </c>
      <c r="GS44" s="203">
        <f t="shared" si="346"/>
        <v>0</v>
      </c>
      <c r="GT44" s="199">
        <f t="shared" ca="1" si="288"/>
        <v>0</v>
      </c>
      <c r="GU44" s="200">
        <f t="shared" si="289"/>
        <v>0</v>
      </c>
      <c r="GV44" s="201">
        <f t="shared" ca="1" si="290"/>
        <v>0</v>
      </c>
      <c r="GW44" s="200">
        <f t="shared" si="291"/>
        <v>0</v>
      </c>
      <c r="GX44" s="201" cm="1">
        <f t="array" ref="GX44">IF(LEFT($AG44,3)="Res",IF(OR($DW44&gt;External_Threshold,$DM44&gt;0),1*Uplift*AWE*(External),0),0)</f>
        <v>0</v>
      </c>
      <c r="GY44" s="200">
        <f t="shared" si="292"/>
        <v>0</v>
      </c>
      <c r="GZ44" s="201">
        <f t="shared" si="293"/>
        <v>0</v>
      </c>
      <c r="HA44" s="203">
        <f t="shared" si="347"/>
        <v>0</v>
      </c>
      <c r="HB44" s="54"/>
      <c r="HC44" s="54"/>
      <c r="HD44" s="54"/>
      <c r="HE44" s="54"/>
      <c r="HF44" s="54"/>
      <c r="HG44" s="201">
        <f t="shared" ca="1" si="348"/>
        <v>299588.13477653201</v>
      </c>
      <c r="HH44" s="201">
        <f t="shared" ca="1" si="349"/>
        <v>249824.48726647208</v>
      </c>
      <c r="HI44" s="201">
        <f t="shared" ca="1" si="350"/>
        <v>222097.02187874378</v>
      </c>
      <c r="HJ44" s="201">
        <f t="shared" ca="1" si="351"/>
        <v>198778.85180147036</v>
      </c>
      <c r="HK44" s="201">
        <f t="shared" ca="1" si="352"/>
        <v>21725.265315967197</v>
      </c>
      <c r="HL44" s="201">
        <f t="shared" ca="1" si="353"/>
        <v>0</v>
      </c>
      <c r="HM44" s="201">
        <f t="shared" ca="1" si="354"/>
        <v>0</v>
      </c>
      <c r="HN44" s="201">
        <f t="shared" ca="1" si="355"/>
        <v>0</v>
      </c>
      <c r="HO44" s="201">
        <f t="shared" ca="1" si="356"/>
        <v>0</v>
      </c>
      <c r="HP44" s="201">
        <f t="shared" ca="1" si="357"/>
        <v>0</v>
      </c>
      <c r="HQ44" s="54"/>
    </row>
    <row r="45" spans="1:225" x14ac:dyDescent="0.3">
      <c r="A45" s="513">
        <v>27</v>
      </c>
      <c r="B45" s="514" t="s">
        <v>450</v>
      </c>
      <c r="C45" s="514" t="s">
        <v>390</v>
      </c>
      <c r="D45" s="514" t="s">
        <v>390</v>
      </c>
      <c r="E45" s="513">
        <v>1</v>
      </c>
      <c r="F45" s="515">
        <v>3.58</v>
      </c>
      <c r="G45" s="515">
        <v>3.24</v>
      </c>
      <c r="H45" s="513">
        <v>2</v>
      </c>
      <c r="I45" s="517">
        <v>1</v>
      </c>
      <c r="J45" s="518" t="s">
        <v>295</v>
      </c>
      <c r="K45" s="513">
        <f t="shared" si="204"/>
        <v>220</v>
      </c>
      <c r="L45" s="519">
        <v>8.3357142857142836</v>
      </c>
      <c r="M45" s="519">
        <v>6.3999999999999995</v>
      </c>
      <c r="N45" s="519">
        <v>6.1</v>
      </c>
      <c r="O45" s="519">
        <v>5.8</v>
      </c>
      <c r="P45" s="519">
        <v>5.45</v>
      </c>
      <c r="Q45" s="519">
        <v>4.9800000000000004</v>
      </c>
      <c r="R45" s="519">
        <v>4.1800000000000006</v>
      </c>
      <c r="S45" s="519">
        <v>0</v>
      </c>
      <c r="T45" s="519">
        <v>0</v>
      </c>
      <c r="U45" s="519">
        <v>0</v>
      </c>
      <c r="V45" s="536"/>
      <c r="W45" s="536"/>
      <c r="X45" s="536"/>
      <c r="Y45" s="536"/>
      <c r="Z45" s="536"/>
      <c r="AA45" s="536"/>
      <c r="AB45" s="536"/>
      <c r="AC45" s="536"/>
      <c r="AD45" s="536"/>
      <c r="AE45" s="536"/>
      <c r="AF45" s="54"/>
      <c r="AG45" s="204" t="str">
        <f t="shared" si="465"/>
        <v>Res1</v>
      </c>
      <c r="AH45" s="204">
        <f t="shared" si="294"/>
        <v>6</v>
      </c>
      <c r="AI45" s="204">
        <f t="shared" si="205"/>
        <v>1</v>
      </c>
      <c r="AJ45" s="54"/>
      <c r="AK45" s="74">
        <f>IFERROR(IF(H45&gt;4,0,AI45*Inputs!$C$55),0)</f>
        <v>2.6</v>
      </c>
      <c r="AL45" s="81">
        <f>IFERROR(Inputs!$C$73,0)</f>
        <v>5</v>
      </c>
      <c r="AM45" s="211">
        <f>IFERROR(Inputs!$C$74,0)</f>
        <v>0.24299999999999999</v>
      </c>
      <c r="AN45" s="446">
        <f>IFERROR(HLOOKUP(HLOOKUP(AN$17,$V$18:$AE45,COUNTA($AK$18:$AK45),FALSE),Inputs!$B$58:$H$59,2,FALSE),0)</f>
        <v>0</v>
      </c>
      <c r="AO45" s="447">
        <f t="shared" si="295"/>
        <v>0</v>
      </c>
      <c r="AP45" s="447">
        <f t="shared" si="296"/>
        <v>0</v>
      </c>
      <c r="AQ45" s="446">
        <f>IFERROR(HLOOKUP(HLOOKUP(AQ$17,$V$18:$AE45,COUNTA($AK$18:$AK45),FALSE),Inputs!$B$58:$H$59,2,FALSE),0)</f>
        <v>0</v>
      </c>
      <c r="AR45" s="447">
        <f t="shared" ref="AR45" si="660">2*$AK45*AQ45*$AL45/100*$AM45</f>
        <v>0</v>
      </c>
      <c r="AS45" s="447">
        <f t="shared" si="298"/>
        <v>0</v>
      </c>
      <c r="AT45" s="446">
        <f>IFERROR(HLOOKUP(HLOOKUP(AT$17,$V$18:$AE45,COUNTA($AK$18:$AK45),FALSE),Inputs!$B$58:$H$59,2,FALSE),0)</f>
        <v>0</v>
      </c>
      <c r="AU45" s="447">
        <f t="shared" ref="AU45" si="661">2*$AK45*AT45*$AL45/100*$AM45</f>
        <v>0</v>
      </c>
      <c r="AV45" s="447">
        <f t="shared" si="300"/>
        <v>0</v>
      </c>
      <c r="AW45" s="446">
        <f>IFERROR(HLOOKUP(HLOOKUP(AW$17,$V$18:$AE45,COUNTA($AK$18:$AK45),FALSE),Inputs!$B$58:$H$59,2,FALSE),0)</f>
        <v>0</v>
      </c>
      <c r="AX45" s="447">
        <f t="shared" ref="AX45" si="662">2*$AK45*AW45*$AL45/100*$AM45</f>
        <v>0</v>
      </c>
      <c r="AY45" s="447">
        <f t="shared" si="302"/>
        <v>0</v>
      </c>
      <c r="AZ45" s="446">
        <f>IFERROR(HLOOKUP(HLOOKUP(AZ$17,$V$18:$AE45,COUNTA($AK$18:$AK45),FALSE),Inputs!$B$58:$H$59,2,FALSE),0)</f>
        <v>0</v>
      </c>
      <c r="BA45" s="447">
        <f t="shared" ref="BA45" si="663">2*$AK45*AZ45*$AL45/100*$AM45</f>
        <v>0</v>
      </c>
      <c r="BB45" s="447">
        <f t="shared" si="304"/>
        <v>0</v>
      </c>
      <c r="BC45" s="446">
        <f>IFERROR(HLOOKUP(HLOOKUP(BC$17,$V$18:$AE45,COUNTA($AK$18:$AK45),FALSE),Inputs!$B$58:$H$59,2,FALSE),0)</f>
        <v>0</v>
      </c>
      <c r="BD45" s="447">
        <f t="shared" ref="BD45" si="664">2*$AK45*BC45*$AL45/100*$AM45</f>
        <v>0</v>
      </c>
      <c r="BE45" s="447">
        <f t="shared" si="306"/>
        <v>0</v>
      </c>
      <c r="BF45" s="446">
        <f>IFERROR(HLOOKUP(HLOOKUP(BF$17,$V$18:$AE45,COUNTA($AK$18:$AK45),FALSE),Inputs!$B$58:$H$59,2,FALSE),0)</f>
        <v>0</v>
      </c>
      <c r="BG45" s="447">
        <f t="shared" ref="BG45" si="665">2*$AK45*BF45*$AL45/100*$AM45</f>
        <v>0</v>
      </c>
      <c r="BH45" s="447">
        <f t="shared" si="308"/>
        <v>0</v>
      </c>
      <c r="BI45" s="446">
        <f>IFERROR(HLOOKUP(HLOOKUP(BI$17,$V$18:$AE45,COUNTA($AK$18:$AK45),FALSE),Inputs!$B$58:$H$59,2,FALSE),0)</f>
        <v>0</v>
      </c>
      <c r="BJ45" s="447">
        <f t="shared" ref="BJ45" si="666">2*$AK45*BI45*$AL45/100*$AM45</f>
        <v>0</v>
      </c>
      <c r="BK45" s="447">
        <f t="shared" si="310"/>
        <v>0</v>
      </c>
      <c r="BL45" s="446">
        <f>IFERROR(HLOOKUP(HLOOKUP(BL$17,$V$18:$AE45,COUNTA($AK$18:$AK45),FALSE),Inputs!$B$58:$H$59,2,FALSE),0)</f>
        <v>0</v>
      </c>
      <c r="BM45" s="447">
        <f t="shared" ref="BM45" si="667">2*$AK45*BL45*$AL45/100*$AM45</f>
        <v>0</v>
      </c>
      <c r="BN45" s="447">
        <f t="shared" si="312"/>
        <v>0</v>
      </c>
      <c r="BO45" s="446">
        <f>IFERROR(HLOOKUP(HLOOKUP(BO$17,$V$18:$AE45,COUNTA($AK$18:$AK45),FALSE),Inputs!$B$58:$H$59,2,FALSE),0)</f>
        <v>0</v>
      </c>
      <c r="BP45" s="447">
        <f t="shared" ref="BP45" si="668">2*$AK45*BO45*$AL45/100*$AM45</f>
        <v>0</v>
      </c>
      <c r="BQ45" s="447">
        <f t="shared" si="314"/>
        <v>0</v>
      </c>
      <c r="BR45" s="54"/>
      <c r="BS45" s="103">
        <f t="shared" ca="1" si="224"/>
        <v>19769.99585482875</v>
      </c>
      <c r="BT45" s="103">
        <f t="shared" ca="1" si="396"/>
        <v>15464.192849153651</v>
      </c>
      <c r="BU45" s="103">
        <f t="shared" si="397"/>
        <v>2322.023191027497</v>
      </c>
      <c r="BV45" s="103">
        <f t="shared" si="398"/>
        <v>0</v>
      </c>
      <c r="BW45" s="152">
        <f t="shared" ca="1" si="399"/>
        <v>37556.211895009896</v>
      </c>
      <c r="BX45" s="441"/>
      <c r="BY45" s="94" t="s">
        <v>92</v>
      </c>
      <c r="BZ45" s="356">
        <f>$DL$10</f>
        <v>0</v>
      </c>
      <c r="CA45" s="95">
        <f>$DL$8</f>
        <v>0</v>
      </c>
      <c r="CB45" s="79">
        <f ca="1">$GL$12</f>
        <v>0</v>
      </c>
      <c r="CC45" s="79" t="str">
        <f ca="1">$GL$11</f>
        <v>--</v>
      </c>
      <c r="CD45" s="54"/>
      <c r="CE45" s="94" t="s">
        <v>92</v>
      </c>
      <c r="CF45" s="356">
        <f>$DL$10</f>
        <v>0</v>
      </c>
      <c r="CG45" s="95">
        <f>$DL$8</f>
        <v>0</v>
      </c>
      <c r="CH45" s="79">
        <f ca="1">$GN$12</f>
        <v>0</v>
      </c>
      <c r="CI45" s="79" t="str">
        <f ca="1">$GN$11</f>
        <v>--</v>
      </c>
      <c r="CJ45" s="54"/>
      <c r="CK45" s="94" t="s">
        <v>92</v>
      </c>
      <c r="CL45" s="356">
        <f>$DV$10</f>
        <v>0</v>
      </c>
      <c r="CM45" s="95">
        <f>$DV$8</f>
        <v>0</v>
      </c>
      <c r="CN45" s="79">
        <f>$GP$12</f>
        <v>0</v>
      </c>
      <c r="CO45" s="79" t="str">
        <f>$GP$11</f>
        <v>--</v>
      </c>
      <c r="CP45" s="54"/>
      <c r="CQ45" s="94" t="s">
        <v>92</v>
      </c>
      <c r="CR45" s="356">
        <f>$DL$10</f>
        <v>0</v>
      </c>
      <c r="CS45" s="95">
        <f>$DL$8</f>
        <v>0</v>
      </c>
      <c r="CT45" s="79">
        <f>$GR$12</f>
        <v>0</v>
      </c>
      <c r="CU45" s="79" t="str">
        <f>$GR$11</f>
        <v>--</v>
      </c>
      <c r="CV45" s="54"/>
      <c r="CW45" s="94" t="s">
        <v>92</v>
      </c>
      <c r="CX45" s="356">
        <f>$DL$10</f>
        <v>0</v>
      </c>
      <c r="CY45" s="95">
        <f>$DL$8</f>
        <v>0</v>
      </c>
      <c r="CZ45" s="79">
        <f ca="1">SUM(DetailedStructural[[#This Row],[Total Damages]],DetailedInternal[[#This Row],[Total Damages]],DetailedExternal[[#This Row],[Total Damages]],DetailedRiskToLife[[#This Row],[Total Damages]])</f>
        <v>0</v>
      </c>
      <c r="DA45" s="79">
        <f ca="1">SUM(DetailedStructural[[#This Row],[AAD per Property]],DetailedInternal[[#This Row],[AAD per Property]],DetailedExternal[[#This Row],[AAD per Property]],DetailedRiskToLife[[#This Row],[AAD per Property]])</f>
        <v>0</v>
      </c>
      <c r="DB45" s="54"/>
      <c r="DC45" s="54"/>
      <c r="DD45" s="188">
        <f t="shared" si="315"/>
        <v>4.7557142857142836</v>
      </c>
      <c r="DE45" s="188">
        <f t="shared" si="316"/>
        <v>2.8199999999999994</v>
      </c>
      <c r="DF45" s="188">
        <f t="shared" si="317"/>
        <v>2.5199999999999996</v>
      </c>
      <c r="DG45" s="188">
        <f t="shared" si="318"/>
        <v>2.2199999999999998</v>
      </c>
      <c r="DH45" s="188">
        <f t="shared" si="319"/>
        <v>1.87</v>
      </c>
      <c r="DI45" s="188">
        <f t="shared" si="320"/>
        <v>1.4000000000000004</v>
      </c>
      <c r="DJ45" s="188">
        <f t="shared" si="321"/>
        <v>0.60000000000000053</v>
      </c>
      <c r="DK45" s="188">
        <f t="shared" si="322"/>
        <v>-0.3</v>
      </c>
      <c r="DL45" s="188">
        <f t="shared" si="323"/>
        <v>-0.3</v>
      </c>
      <c r="DM45" s="188">
        <f t="shared" si="324"/>
        <v>-0.3</v>
      </c>
      <c r="DN45" s="189">
        <f t="shared" si="325"/>
        <v>5.0957142857142834</v>
      </c>
      <c r="DO45" s="189">
        <f t="shared" si="326"/>
        <v>3.1599999999999993</v>
      </c>
      <c r="DP45" s="189">
        <f t="shared" si="327"/>
        <v>2.8599999999999994</v>
      </c>
      <c r="DQ45" s="189">
        <f t="shared" si="328"/>
        <v>2.5599999999999996</v>
      </c>
      <c r="DR45" s="189">
        <f t="shared" si="329"/>
        <v>2.21</v>
      </c>
      <c r="DS45" s="189">
        <f t="shared" si="330"/>
        <v>1.7400000000000002</v>
      </c>
      <c r="DT45" s="189">
        <f t="shared" si="331"/>
        <v>0.94000000000000039</v>
      </c>
      <c r="DU45" s="189">
        <f t="shared" si="332"/>
        <v>0</v>
      </c>
      <c r="DV45" s="189">
        <f t="shared" si="333"/>
        <v>0</v>
      </c>
      <c r="DW45" s="189">
        <f t="shared" si="334"/>
        <v>0</v>
      </c>
      <c r="DX45" s="54"/>
      <c r="DY45" s="54"/>
      <c r="DZ45" s="199">
        <f t="shared" ca="1" si="237"/>
        <v>209346.9271587072</v>
      </c>
      <c r="EA45" s="200">
        <f t="shared" si="335"/>
        <v>1</v>
      </c>
      <c r="EB45" s="201">
        <f t="shared" ca="1" si="238"/>
        <v>129139.423223123</v>
      </c>
      <c r="EC45" s="200">
        <f t="shared" si="336"/>
        <v>1</v>
      </c>
      <c r="ED45" s="201" cm="1">
        <f t="array" ref="ED45">IF(LEFT($AG45,3)="Res",IF(OR($DN45&gt;External_Threshold,$DD45&gt;0),1*Uplift*AWE*(External),0),0)</f>
        <v>15481.186685962373</v>
      </c>
      <c r="EE45" s="200">
        <f t="shared" si="337"/>
        <v>1</v>
      </c>
      <c r="EF45" s="201">
        <f t="shared" si="239"/>
        <v>0</v>
      </c>
      <c r="EG45" s="203">
        <f t="shared" si="338"/>
        <v>0</v>
      </c>
      <c r="EH45" s="199">
        <f t="shared" ca="1" si="240"/>
        <v>200537.0998552822</v>
      </c>
      <c r="EI45" s="200">
        <f t="shared" si="241"/>
        <v>1</v>
      </c>
      <c r="EJ45" s="201">
        <f t="shared" ca="1" si="242"/>
        <v>129139.423223123</v>
      </c>
      <c r="EK45" s="200">
        <f t="shared" si="243"/>
        <v>1</v>
      </c>
      <c r="EL45" s="201" cm="1">
        <f t="array" ref="EL45">IF(LEFT($AG45,3)="Res",IF(OR($DO45&gt;External_Threshold,$DE45&gt;0),1*Uplift*AWE*(External),0),0)</f>
        <v>15481.186685962373</v>
      </c>
      <c r="EM45" s="200">
        <f t="shared" si="244"/>
        <v>1</v>
      </c>
      <c r="EN45" s="201">
        <f t="shared" si="245"/>
        <v>0</v>
      </c>
      <c r="EO45" s="203">
        <f t="shared" si="339"/>
        <v>0</v>
      </c>
      <c r="EP45" s="199">
        <f t="shared" ca="1" si="246"/>
        <v>187322.35890014473</v>
      </c>
      <c r="EQ45" s="200">
        <f t="shared" si="247"/>
        <v>1</v>
      </c>
      <c r="ER45" s="201">
        <f t="shared" ca="1" si="248"/>
        <v>129139.423223123</v>
      </c>
      <c r="ES45" s="200">
        <f t="shared" si="249"/>
        <v>1</v>
      </c>
      <c r="ET45" s="201" cm="1">
        <f t="array" ref="ET45">IF(LEFT($AG45,3)="Res",IF(OR($DP45&gt;External_Threshold,$DF45&gt;0),1*Uplift*AWE*(External),0),0)</f>
        <v>15481.186685962373</v>
      </c>
      <c r="EU45" s="200">
        <f t="shared" si="250"/>
        <v>1</v>
      </c>
      <c r="EV45" s="201">
        <f t="shared" si="251"/>
        <v>0</v>
      </c>
      <c r="EW45" s="203">
        <f t="shared" si="340"/>
        <v>0</v>
      </c>
      <c r="EX45" s="199">
        <f t="shared" ca="1" si="252"/>
        <v>167432.13024602027</v>
      </c>
      <c r="EY45" s="200">
        <f t="shared" si="253"/>
        <v>1</v>
      </c>
      <c r="EZ45" s="201">
        <f t="shared" ca="1" si="254"/>
        <v>127459.7625221154</v>
      </c>
      <c r="FA45" s="200">
        <f t="shared" si="255"/>
        <v>1</v>
      </c>
      <c r="FB45" s="201" cm="1">
        <f t="array" ref="FB45">IF(LEFT($AG45,3)="Res",IF(OR($DQ45&gt;External_Threshold,$DG45&gt;0),1*Uplift*AWE*(External),0),0)</f>
        <v>15481.186685962373</v>
      </c>
      <c r="FC45" s="200">
        <f t="shared" si="256"/>
        <v>1</v>
      </c>
      <c r="FD45" s="201">
        <f t="shared" si="257"/>
        <v>0</v>
      </c>
      <c r="FE45" s="203">
        <f t="shared" si="341"/>
        <v>0</v>
      </c>
      <c r="FF45" s="199">
        <f t="shared" ca="1" si="258"/>
        <v>152264.69561022674</v>
      </c>
      <c r="FG45" s="200">
        <f t="shared" si="259"/>
        <v>1</v>
      </c>
      <c r="FH45" s="201">
        <f t="shared" ca="1" si="260"/>
        <v>125500.15837093987</v>
      </c>
      <c r="FI45" s="200">
        <f t="shared" si="261"/>
        <v>1</v>
      </c>
      <c r="FJ45" s="201" cm="1">
        <f t="array" ref="FJ45">IF(LEFT($AG45,3)="Res",IF(OR($DR45&gt;External_Threshold,$DH45&gt;0),1*Uplift*AWE*(External),0),0)</f>
        <v>15481.186685962373</v>
      </c>
      <c r="FK45" s="200">
        <f t="shared" si="262"/>
        <v>1</v>
      </c>
      <c r="FL45" s="201">
        <f t="shared" si="263"/>
        <v>0</v>
      </c>
      <c r="FM45" s="203">
        <f t="shared" si="342"/>
        <v>0</v>
      </c>
      <c r="FN45" s="199">
        <f t="shared" ca="1" si="264"/>
        <v>142092.52387843709</v>
      </c>
      <c r="FO45" s="200">
        <f t="shared" si="265"/>
        <v>1</v>
      </c>
      <c r="FP45" s="201">
        <f t="shared" ca="1" si="266"/>
        <v>118608.75563481879</v>
      </c>
      <c r="FQ45" s="200">
        <f t="shared" si="267"/>
        <v>1</v>
      </c>
      <c r="FR45" s="201" cm="1">
        <f t="array" ref="FR45">IF(LEFT($AG45,3)="Res",IF(OR($DS45&gt;External_Threshold,$DI45&gt;0),1*Uplift*AWE*(External),0),0)</f>
        <v>15481.186685962373</v>
      </c>
      <c r="FS45" s="200">
        <f t="shared" si="268"/>
        <v>1</v>
      </c>
      <c r="FT45" s="201">
        <f t="shared" si="269"/>
        <v>0</v>
      </c>
      <c r="FU45" s="203">
        <f t="shared" si="343"/>
        <v>0</v>
      </c>
      <c r="FV45" s="199">
        <f t="shared" ca="1" si="270"/>
        <v>111031.07091172214</v>
      </c>
      <c r="FW45" s="200">
        <f t="shared" si="271"/>
        <v>1</v>
      </c>
      <c r="FX45" s="201">
        <f t="shared" ca="1" si="272"/>
        <v>83821.826099800572</v>
      </c>
      <c r="FY45" s="200">
        <f t="shared" si="273"/>
        <v>1</v>
      </c>
      <c r="FZ45" s="201" cm="1">
        <f t="array" ref="FZ45">IF(LEFT($AG45,3)="Res",IF(OR($DT45&gt;External_Threshold,$DJ45&gt;0),1*Uplift*AWE*(External),0),0)</f>
        <v>15481.186685962373</v>
      </c>
      <c r="GA45" s="200">
        <f t="shared" si="274"/>
        <v>1</v>
      </c>
      <c r="GB45" s="201">
        <f t="shared" si="275"/>
        <v>0</v>
      </c>
      <c r="GC45" s="203">
        <f t="shared" si="344"/>
        <v>0</v>
      </c>
      <c r="GD45" s="199">
        <f t="shared" ca="1" si="276"/>
        <v>0</v>
      </c>
      <c r="GE45" s="200">
        <f t="shared" si="277"/>
        <v>0</v>
      </c>
      <c r="GF45" s="201">
        <f t="shared" ca="1" si="278"/>
        <v>0</v>
      </c>
      <c r="GG45" s="200">
        <f t="shared" si="279"/>
        <v>0</v>
      </c>
      <c r="GH45" s="201" cm="1">
        <f t="array" ref="GH45">IF(LEFT($AG45,3)="Res",IF(OR($DU45&gt;External_Threshold,$DK45&gt;0),1*Uplift*AWE*(External),0),0)</f>
        <v>0</v>
      </c>
      <c r="GI45" s="200">
        <f t="shared" si="280"/>
        <v>0</v>
      </c>
      <c r="GJ45" s="201">
        <f t="shared" si="281"/>
        <v>0</v>
      </c>
      <c r="GK45" s="203">
        <f t="shared" si="345"/>
        <v>0</v>
      </c>
      <c r="GL45" s="199">
        <f t="shared" ca="1" si="282"/>
        <v>0</v>
      </c>
      <c r="GM45" s="200">
        <f t="shared" si="283"/>
        <v>0</v>
      </c>
      <c r="GN45" s="201">
        <f t="shared" ca="1" si="284"/>
        <v>0</v>
      </c>
      <c r="GO45" s="200">
        <f t="shared" si="285"/>
        <v>0</v>
      </c>
      <c r="GP45" s="201" cm="1">
        <f t="array" ref="GP45">IF(LEFT($AG45,3)="Res",IF(OR($DV45&gt;External_Threshold,$DL45&gt;0),1*Uplift*AWE*(External),0),0)</f>
        <v>0</v>
      </c>
      <c r="GQ45" s="200">
        <f t="shared" si="286"/>
        <v>0</v>
      </c>
      <c r="GR45" s="201">
        <f t="shared" si="287"/>
        <v>0</v>
      </c>
      <c r="GS45" s="203">
        <f t="shared" si="346"/>
        <v>0</v>
      </c>
      <c r="GT45" s="199">
        <f t="shared" ca="1" si="288"/>
        <v>0</v>
      </c>
      <c r="GU45" s="200">
        <f t="shared" si="289"/>
        <v>0</v>
      </c>
      <c r="GV45" s="201">
        <f t="shared" ca="1" si="290"/>
        <v>0</v>
      </c>
      <c r="GW45" s="200">
        <f t="shared" si="291"/>
        <v>0</v>
      </c>
      <c r="GX45" s="201" cm="1">
        <f t="array" ref="GX45">IF(LEFT($AG45,3)="Res",IF(OR($DW45&gt;External_Threshold,$DM45&gt;0),1*Uplift*AWE*(External),0),0)</f>
        <v>0</v>
      </c>
      <c r="GY45" s="200">
        <f t="shared" si="292"/>
        <v>0</v>
      </c>
      <c r="GZ45" s="201">
        <f t="shared" si="293"/>
        <v>0</v>
      </c>
      <c r="HA45" s="203">
        <f t="shared" si="347"/>
        <v>0</v>
      </c>
      <c r="HB45" s="54"/>
      <c r="HC45" s="54"/>
      <c r="HD45" s="54"/>
      <c r="HE45" s="54"/>
      <c r="HF45" s="54"/>
      <c r="HG45" s="201">
        <f t="shared" ca="1" si="348"/>
        <v>353967.53706779255</v>
      </c>
      <c r="HH45" s="201">
        <f t="shared" ca="1" si="349"/>
        <v>345157.70976436755</v>
      </c>
      <c r="HI45" s="201">
        <f t="shared" ca="1" si="350"/>
        <v>331942.96880923008</v>
      </c>
      <c r="HJ45" s="201">
        <f t="shared" ca="1" si="351"/>
        <v>310373.07945409801</v>
      </c>
      <c r="HK45" s="201">
        <f t="shared" ca="1" si="352"/>
        <v>293246.04066712898</v>
      </c>
      <c r="HL45" s="201">
        <f t="shared" ca="1" si="353"/>
        <v>276182.46619921824</v>
      </c>
      <c r="HM45" s="201">
        <f t="shared" ca="1" si="354"/>
        <v>210334.0836974851</v>
      </c>
      <c r="HN45" s="201">
        <f t="shared" ca="1" si="355"/>
        <v>0</v>
      </c>
      <c r="HO45" s="201">
        <f t="shared" ca="1" si="356"/>
        <v>0</v>
      </c>
      <c r="HP45" s="201">
        <f t="shared" ca="1" si="357"/>
        <v>0</v>
      </c>
      <c r="HQ45" s="54"/>
    </row>
    <row r="46" spans="1:225" x14ac:dyDescent="0.3">
      <c r="A46" s="513">
        <v>28</v>
      </c>
      <c r="B46" s="514" t="s">
        <v>451</v>
      </c>
      <c r="C46" s="514" t="s">
        <v>390</v>
      </c>
      <c r="D46" s="514" t="s">
        <v>390</v>
      </c>
      <c r="E46" s="513">
        <v>1</v>
      </c>
      <c r="F46" s="515">
        <v>5.89</v>
      </c>
      <c r="G46" s="515">
        <v>5.31</v>
      </c>
      <c r="H46" s="513">
        <v>1</v>
      </c>
      <c r="I46" s="517">
        <v>1</v>
      </c>
      <c r="J46" s="518" t="s">
        <v>295</v>
      </c>
      <c r="K46" s="513">
        <f t="shared" si="204"/>
        <v>220</v>
      </c>
      <c r="L46" s="519">
        <v>7.37</v>
      </c>
      <c r="M46" s="519">
        <v>6.47</v>
      </c>
      <c r="N46" s="519">
        <v>6.17</v>
      </c>
      <c r="O46" s="519">
        <v>5.87</v>
      </c>
      <c r="P46" s="519">
        <v>5.45</v>
      </c>
      <c r="Q46" s="519">
        <v>4.9800000000000004</v>
      </c>
      <c r="R46" s="519">
        <v>4.1800000000000006</v>
      </c>
      <c r="S46" s="519">
        <v>0</v>
      </c>
      <c r="T46" s="519">
        <v>0</v>
      </c>
      <c r="U46" s="519">
        <v>0</v>
      </c>
      <c r="V46" s="536"/>
      <c r="W46" s="536"/>
      <c r="X46" s="536"/>
      <c r="Y46" s="536"/>
      <c r="Z46" s="536"/>
      <c r="AA46" s="536"/>
      <c r="AB46" s="536"/>
      <c r="AC46" s="536"/>
      <c r="AD46" s="536"/>
      <c r="AE46" s="536"/>
      <c r="AF46" s="54"/>
      <c r="AG46" s="204" t="str">
        <f t="shared" si="465"/>
        <v>Res1</v>
      </c>
      <c r="AH46" s="204">
        <f t="shared" si="294"/>
        <v>6</v>
      </c>
      <c r="AI46" s="204">
        <f t="shared" si="205"/>
        <v>1</v>
      </c>
      <c r="AJ46" s="54"/>
      <c r="AK46" s="74">
        <f>IFERROR(IF(H46&gt;4,0,AI46*Inputs!$C$55),0)</f>
        <v>2.6</v>
      </c>
      <c r="AL46" s="81">
        <f>IFERROR(Inputs!$C$73,0)</f>
        <v>5</v>
      </c>
      <c r="AM46" s="211">
        <f>IFERROR(Inputs!$C$74,0)</f>
        <v>0.24299999999999999</v>
      </c>
      <c r="AN46" s="446">
        <f>IFERROR(HLOOKUP(HLOOKUP(AN$17,$V$18:$AE46,COUNTA($AK$18:$AK46),FALSE),Inputs!$B$58:$H$59,2,FALSE),0)</f>
        <v>0</v>
      </c>
      <c r="AO46" s="447">
        <f t="shared" si="295"/>
        <v>0</v>
      </c>
      <c r="AP46" s="447">
        <f t="shared" si="296"/>
        <v>0</v>
      </c>
      <c r="AQ46" s="446">
        <f>IFERROR(HLOOKUP(HLOOKUP(AQ$17,$V$18:$AE46,COUNTA($AK$18:$AK46),FALSE),Inputs!$B$58:$H$59,2,FALSE),0)</f>
        <v>0</v>
      </c>
      <c r="AR46" s="447">
        <f t="shared" ref="AR46" si="669">2*$AK46*AQ46*$AL46/100*$AM46</f>
        <v>0</v>
      </c>
      <c r="AS46" s="447">
        <f t="shared" si="298"/>
        <v>0</v>
      </c>
      <c r="AT46" s="446">
        <f>IFERROR(HLOOKUP(HLOOKUP(AT$17,$V$18:$AE46,COUNTA($AK$18:$AK46),FALSE),Inputs!$B$58:$H$59,2,FALSE),0)</f>
        <v>0</v>
      </c>
      <c r="AU46" s="447">
        <f t="shared" ref="AU46" si="670">2*$AK46*AT46*$AL46/100*$AM46</f>
        <v>0</v>
      </c>
      <c r="AV46" s="447">
        <f t="shared" si="300"/>
        <v>0</v>
      </c>
      <c r="AW46" s="446">
        <f>IFERROR(HLOOKUP(HLOOKUP(AW$17,$V$18:$AE46,COUNTA($AK$18:$AK46),FALSE),Inputs!$B$58:$H$59,2,FALSE),0)</f>
        <v>0</v>
      </c>
      <c r="AX46" s="447">
        <f t="shared" ref="AX46" si="671">2*$AK46*AW46*$AL46/100*$AM46</f>
        <v>0</v>
      </c>
      <c r="AY46" s="447">
        <f t="shared" si="302"/>
        <v>0</v>
      </c>
      <c r="AZ46" s="446">
        <f>IFERROR(HLOOKUP(HLOOKUP(AZ$17,$V$18:$AE46,COUNTA($AK$18:$AK46),FALSE),Inputs!$B$58:$H$59,2,FALSE),0)</f>
        <v>0</v>
      </c>
      <c r="BA46" s="447">
        <f t="shared" ref="BA46" si="672">2*$AK46*AZ46*$AL46/100*$AM46</f>
        <v>0</v>
      </c>
      <c r="BB46" s="447">
        <f t="shared" si="304"/>
        <v>0</v>
      </c>
      <c r="BC46" s="446">
        <f>IFERROR(HLOOKUP(HLOOKUP(BC$17,$V$18:$AE46,COUNTA($AK$18:$AK46),FALSE),Inputs!$B$58:$H$59,2,FALSE),0)</f>
        <v>0</v>
      </c>
      <c r="BD46" s="447">
        <f t="shared" ref="BD46" si="673">2*$AK46*BC46*$AL46/100*$AM46</f>
        <v>0</v>
      </c>
      <c r="BE46" s="447">
        <f t="shared" si="306"/>
        <v>0</v>
      </c>
      <c r="BF46" s="446">
        <f>IFERROR(HLOOKUP(HLOOKUP(BF$17,$V$18:$AE46,COUNTA($AK$18:$AK46),FALSE),Inputs!$B$58:$H$59,2,FALSE),0)</f>
        <v>0</v>
      </c>
      <c r="BG46" s="447">
        <f t="shared" ref="BG46" si="674">2*$AK46*BF46*$AL46/100*$AM46</f>
        <v>0</v>
      </c>
      <c r="BH46" s="447">
        <f t="shared" si="308"/>
        <v>0</v>
      </c>
      <c r="BI46" s="446">
        <f>IFERROR(HLOOKUP(HLOOKUP(BI$17,$V$18:$AE46,COUNTA($AK$18:$AK46),FALSE),Inputs!$B$58:$H$59,2,FALSE),0)</f>
        <v>0</v>
      </c>
      <c r="BJ46" s="447">
        <f t="shared" ref="BJ46" si="675">2*$AK46*BI46*$AL46/100*$AM46</f>
        <v>0</v>
      </c>
      <c r="BK46" s="447">
        <f t="shared" si="310"/>
        <v>0</v>
      </c>
      <c r="BL46" s="446">
        <f>IFERROR(HLOOKUP(HLOOKUP(BL$17,$V$18:$AE46,COUNTA($AK$18:$AK46),FALSE),Inputs!$B$58:$H$59,2,FALSE),0)</f>
        <v>0</v>
      </c>
      <c r="BM46" s="447">
        <f t="shared" ref="BM46" si="676">2*$AK46*BL46*$AL46/100*$AM46</f>
        <v>0</v>
      </c>
      <c r="BN46" s="447">
        <f t="shared" si="312"/>
        <v>0</v>
      </c>
      <c r="BO46" s="446">
        <f>IFERROR(HLOOKUP(HLOOKUP(BO$17,$V$18:$AE46,COUNTA($AK$18:$AK46),FALSE),Inputs!$B$58:$H$59,2,FALSE),0)</f>
        <v>0</v>
      </c>
      <c r="BP46" s="447">
        <f t="shared" ref="BP46" si="677">2*$AK46*BO46*$AL46/100*$AM46</f>
        <v>0</v>
      </c>
      <c r="BQ46" s="447">
        <f t="shared" si="314"/>
        <v>0</v>
      </c>
      <c r="BR46" s="54"/>
      <c r="BS46" s="103">
        <f t="shared" ca="1" si="224"/>
        <v>916.24474529667145</v>
      </c>
      <c r="BT46" s="103">
        <f t="shared" ca="1" si="396"/>
        <v>579.9608649893305</v>
      </c>
      <c r="BU46" s="103">
        <f t="shared" si="397"/>
        <v>232.06298842257598</v>
      </c>
      <c r="BV46" s="103">
        <f t="shared" si="398"/>
        <v>0</v>
      </c>
      <c r="BW46" s="152">
        <f t="shared" ca="1" si="399"/>
        <v>1728.2685987085779</v>
      </c>
      <c r="BX46" s="441"/>
      <c r="BY46" s="96" t="str">
        <f>TEXT($U$10,"0%")&amp;" AEP"</f>
        <v>100% AEP</v>
      </c>
      <c r="BZ46" s="355">
        <f t="shared" ref="BZ46" si="678">SUM(BZ47:BZ48)</f>
        <v>0</v>
      </c>
      <c r="CA46" s="92">
        <f t="shared" ref="CA46" si="679">MAX(CA47:CA48)</f>
        <v>0</v>
      </c>
      <c r="CB46" s="93">
        <f ca="1">$GT$15</f>
        <v>0</v>
      </c>
      <c r="CC46" s="93" t="str">
        <f ca="1">$GT$14</f>
        <v>--</v>
      </c>
      <c r="CD46" s="54"/>
      <c r="CE46" s="96" t="str">
        <f>TEXT($U$10,"0%")&amp;" AEP"</f>
        <v>100% AEP</v>
      </c>
      <c r="CF46" s="355">
        <f t="shared" ref="CF46" si="680">SUM(CF47:CF48)</f>
        <v>0</v>
      </c>
      <c r="CG46" s="92">
        <f t="shared" ref="CG46" si="681">MAX(CG47:CG48)</f>
        <v>0</v>
      </c>
      <c r="CH46" s="93">
        <f ca="1">$GV$15</f>
        <v>0</v>
      </c>
      <c r="CI46" s="93" t="str">
        <f ca="1">$GV$14</f>
        <v>--</v>
      </c>
      <c r="CJ46" s="54"/>
      <c r="CK46" s="96" t="str">
        <f>TEXT($U$10,"0%")&amp;" AEP"</f>
        <v>100% AEP</v>
      </c>
      <c r="CL46" s="355">
        <f t="shared" ref="CL46" si="682">SUM(CL47:CL48)</f>
        <v>0</v>
      </c>
      <c r="CM46" s="92">
        <f t="shared" ref="CM46" si="683">MAX(CM47:CM48)</f>
        <v>0</v>
      </c>
      <c r="CN46" s="93">
        <f>$GX$15</f>
        <v>0</v>
      </c>
      <c r="CO46" s="93" t="str">
        <f>$GX$14</f>
        <v>--</v>
      </c>
      <c r="CP46" s="54"/>
      <c r="CQ46" s="96" t="str">
        <f>TEXT($U$10,"0%")&amp;" AEP"</f>
        <v>100% AEP</v>
      </c>
      <c r="CR46" s="355">
        <f t="shared" ref="CR46" si="684">SUM(CR47:CR48)</f>
        <v>0</v>
      </c>
      <c r="CS46" s="92">
        <f t="shared" ref="CS46" si="685">MAX(CS47:CS48)</f>
        <v>0</v>
      </c>
      <c r="CT46" s="93">
        <f>$GZ$15</f>
        <v>0</v>
      </c>
      <c r="CU46" s="93" t="str">
        <f>$GZ$14</f>
        <v>--</v>
      </c>
      <c r="CV46" s="54"/>
      <c r="CW46" s="96" t="str">
        <f>TEXT($U$10,"0%")&amp;" AEP"</f>
        <v>100% AEP</v>
      </c>
      <c r="CX46" s="355">
        <f t="shared" ref="CX46" si="686">SUM(CX47:CX48)</f>
        <v>0</v>
      </c>
      <c r="CY46" s="92">
        <f t="shared" ref="CY46" si="687">MAX(CY47:CY48)</f>
        <v>0</v>
      </c>
      <c r="CZ46" s="93">
        <f ca="1">SUM(DetailedStructural[[#This Row],[Total Damages]],DetailedInternal[[#This Row],[Total Damages]],DetailedExternal[[#This Row],[Total Damages]],DetailedRiskToLife[[#This Row],[Total Damages]])</f>
        <v>0</v>
      </c>
      <c r="DA46" s="93">
        <f ca="1">SUM(DetailedStructural[[#This Row],[AAD per Property]],DetailedInternal[[#This Row],[AAD per Property]],DetailedExternal[[#This Row],[AAD per Property]],DetailedRiskToLife[[#This Row],[AAD per Property]])</f>
        <v>0</v>
      </c>
      <c r="DB46" s="54"/>
      <c r="DC46" s="54"/>
      <c r="DD46" s="188">
        <f t="shared" si="315"/>
        <v>1.4800000000000004</v>
      </c>
      <c r="DE46" s="188">
        <f t="shared" si="316"/>
        <v>0.58000000000000007</v>
      </c>
      <c r="DF46" s="188">
        <f t="shared" si="317"/>
        <v>0.28000000000000025</v>
      </c>
      <c r="DG46" s="188">
        <f t="shared" si="318"/>
        <v>-1.9999999999999574E-2</v>
      </c>
      <c r="DH46" s="188">
        <f t="shared" si="319"/>
        <v>-0.3</v>
      </c>
      <c r="DI46" s="188">
        <f t="shared" si="320"/>
        <v>-0.3</v>
      </c>
      <c r="DJ46" s="188">
        <f t="shared" si="321"/>
        <v>-0.3</v>
      </c>
      <c r="DK46" s="188">
        <f t="shared" si="322"/>
        <v>-0.3</v>
      </c>
      <c r="DL46" s="188">
        <f t="shared" si="323"/>
        <v>-0.3</v>
      </c>
      <c r="DM46" s="188">
        <f t="shared" si="324"/>
        <v>-0.3</v>
      </c>
      <c r="DN46" s="189">
        <f t="shared" si="325"/>
        <v>2.0600000000000005</v>
      </c>
      <c r="DO46" s="189">
        <f t="shared" si="326"/>
        <v>1.1600000000000001</v>
      </c>
      <c r="DP46" s="189">
        <f t="shared" si="327"/>
        <v>0.86000000000000032</v>
      </c>
      <c r="DQ46" s="189">
        <f t="shared" si="328"/>
        <v>0.5600000000000005</v>
      </c>
      <c r="DR46" s="189">
        <f t="shared" si="329"/>
        <v>0.14000000000000057</v>
      </c>
      <c r="DS46" s="189">
        <f t="shared" si="330"/>
        <v>0</v>
      </c>
      <c r="DT46" s="189">
        <f t="shared" si="331"/>
        <v>0</v>
      </c>
      <c r="DU46" s="189">
        <f t="shared" si="332"/>
        <v>0</v>
      </c>
      <c r="DV46" s="189">
        <f t="shared" si="333"/>
        <v>0</v>
      </c>
      <c r="DW46" s="189">
        <f t="shared" si="334"/>
        <v>0</v>
      </c>
      <c r="DX46" s="54"/>
      <c r="DY46" s="54"/>
      <c r="DZ46" s="199">
        <f t="shared" ca="1" si="237"/>
        <v>147814.37047756877</v>
      </c>
      <c r="EA46" s="200">
        <f t="shared" si="335"/>
        <v>1</v>
      </c>
      <c r="EB46" s="201">
        <f t="shared" ca="1" si="238"/>
        <v>120417.76015932886</v>
      </c>
      <c r="EC46" s="200">
        <f t="shared" si="336"/>
        <v>1</v>
      </c>
      <c r="ED46" s="201" cm="1">
        <f t="array" ref="ED46">IF(LEFT($AG46,3)="Res",IF(OR($DN46&gt;External_Threshold,$DD46&gt;0),1*Uplift*AWE*(External),0),0)</f>
        <v>15481.186685962373</v>
      </c>
      <c r="EE46" s="200">
        <f t="shared" si="337"/>
        <v>1</v>
      </c>
      <c r="EF46" s="201">
        <f t="shared" si="239"/>
        <v>0</v>
      </c>
      <c r="EG46" s="203">
        <f t="shared" si="338"/>
        <v>0</v>
      </c>
      <c r="EH46" s="199">
        <f t="shared" ca="1" si="240"/>
        <v>111031.07091172214</v>
      </c>
      <c r="EI46" s="200">
        <f t="shared" si="241"/>
        <v>1</v>
      </c>
      <c r="EJ46" s="201">
        <f t="shared" ca="1" si="242"/>
        <v>83821.826099800572</v>
      </c>
      <c r="EK46" s="200">
        <f t="shared" si="243"/>
        <v>1</v>
      </c>
      <c r="EL46" s="201" cm="1">
        <f t="array" ref="EL46">IF(LEFT($AG46,3)="Res",IF(OR($DO46&gt;External_Threshold,$DE46&gt;0),1*Uplift*AWE*(External),0),0)</f>
        <v>15481.186685962373</v>
      </c>
      <c r="EM46" s="200">
        <f t="shared" si="244"/>
        <v>1</v>
      </c>
      <c r="EN46" s="201">
        <f t="shared" si="245"/>
        <v>0</v>
      </c>
      <c r="EO46" s="203">
        <f t="shared" si="339"/>
        <v>0</v>
      </c>
      <c r="EP46" s="199">
        <f t="shared" ca="1" si="246"/>
        <v>108987.5542691751</v>
      </c>
      <c r="EQ46" s="200">
        <f t="shared" si="247"/>
        <v>1</v>
      </c>
      <c r="ER46" s="201">
        <f t="shared" ca="1" si="248"/>
        <v>62752.434377948979</v>
      </c>
      <c r="ES46" s="200">
        <f t="shared" si="249"/>
        <v>1</v>
      </c>
      <c r="ET46" s="201" cm="1">
        <f t="array" ref="ET46">IF(LEFT($AG46,3)="Res",IF(OR($DP46&gt;External_Threshold,$DF46&gt;0),1*Uplift*AWE*(External),0),0)</f>
        <v>15481.186685962373</v>
      </c>
      <c r="EU46" s="200">
        <f t="shared" si="250"/>
        <v>1</v>
      </c>
      <c r="EV46" s="201">
        <f t="shared" si="251"/>
        <v>0</v>
      </c>
      <c r="EW46" s="203">
        <f t="shared" si="340"/>
        <v>0</v>
      </c>
      <c r="EX46" s="199">
        <f t="shared" ca="1" si="252"/>
        <v>7492.8943560057887</v>
      </c>
      <c r="EY46" s="200">
        <f t="shared" si="253"/>
        <v>0</v>
      </c>
      <c r="EZ46" s="201">
        <f t="shared" ca="1" si="254"/>
        <v>0</v>
      </c>
      <c r="FA46" s="200">
        <f t="shared" si="255"/>
        <v>0</v>
      </c>
      <c r="FB46" s="201" cm="1">
        <f t="array" ref="FB46">IF(LEFT($AG46,3)="Res",IF(OR($DQ46&gt;External_Threshold,$DG46&gt;0),1*Uplift*AWE*(External),0),0)</f>
        <v>15481.186685962373</v>
      </c>
      <c r="FC46" s="200">
        <f t="shared" si="256"/>
        <v>1</v>
      </c>
      <c r="FD46" s="201">
        <f t="shared" si="257"/>
        <v>0</v>
      </c>
      <c r="FE46" s="203">
        <f t="shared" si="341"/>
        <v>0</v>
      </c>
      <c r="FF46" s="199">
        <f t="shared" ca="1" si="258"/>
        <v>0</v>
      </c>
      <c r="FG46" s="200">
        <f t="shared" si="259"/>
        <v>0</v>
      </c>
      <c r="FH46" s="201">
        <f t="shared" ca="1" si="260"/>
        <v>0</v>
      </c>
      <c r="FI46" s="200">
        <f t="shared" si="261"/>
        <v>0</v>
      </c>
      <c r="FJ46" s="201" cm="1">
        <f t="array" ref="FJ46">IF(LEFT($AG46,3)="Res",IF(OR($DR46&gt;External_Threshold,$DH46&gt;0),1*Uplift*AWE*(External),0),0)</f>
        <v>0</v>
      </c>
      <c r="FK46" s="200">
        <f t="shared" si="262"/>
        <v>1</v>
      </c>
      <c r="FL46" s="201">
        <f t="shared" si="263"/>
        <v>0</v>
      </c>
      <c r="FM46" s="203">
        <f t="shared" si="342"/>
        <v>0</v>
      </c>
      <c r="FN46" s="199">
        <f t="shared" ca="1" si="264"/>
        <v>0</v>
      </c>
      <c r="FO46" s="200">
        <f t="shared" si="265"/>
        <v>0</v>
      </c>
      <c r="FP46" s="201">
        <f t="shared" ca="1" si="266"/>
        <v>0</v>
      </c>
      <c r="FQ46" s="200">
        <f t="shared" si="267"/>
        <v>0</v>
      </c>
      <c r="FR46" s="201" cm="1">
        <f t="array" ref="FR46">IF(LEFT($AG46,3)="Res",IF(OR($DS46&gt;External_Threshold,$DI46&gt;0),1*Uplift*AWE*(External),0),0)</f>
        <v>0</v>
      </c>
      <c r="FS46" s="200">
        <f t="shared" si="268"/>
        <v>0</v>
      </c>
      <c r="FT46" s="201">
        <f t="shared" si="269"/>
        <v>0</v>
      </c>
      <c r="FU46" s="203">
        <f t="shared" si="343"/>
        <v>0</v>
      </c>
      <c r="FV46" s="199">
        <f t="shared" ca="1" si="270"/>
        <v>0</v>
      </c>
      <c r="FW46" s="200">
        <f t="shared" si="271"/>
        <v>0</v>
      </c>
      <c r="FX46" s="201">
        <f t="shared" ca="1" si="272"/>
        <v>0</v>
      </c>
      <c r="FY46" s="200">
        <f t="shared" si="273"/>
        <v>0</v>
      </c>
      <c r="FZ46" s="201" cm="1">
        <f t="array" ref="FZ46">IF(LEFT($AG46,3)="Res",IF(OR($DT46&gt;External_Threshold,$DJ46&gt;0),1*Uplift*AWE*(External),0),0)</f>
        <v>0</v>
      </c>
      <c r="GA46" s="200">
        <f t="shared" si="274"/>
        <v>0</v>
      </c>
      <c r="GB46" s="201">
        <f t="shared" si="275"/>
        <v>0</v>
      </c>
      <c r="GC46" s="203">
        <f t="shared" si="344"/>
        <v>0</v>
      </c>
      <c r="GD46" s="199">
        <f t="shared" ca="1" si="276"/>
        <v>0</v>
      </c>
      <c r="GE46" s="200">
        <f t="shared" si="277"/>
        <v>0</v>
      </c>
      <c r="GF46" s="201">
        <f t="shared" ca="1" si="278"/>
        <v>0</v>
      </c>
      <c r="GG46" s="200">
        <f t="shared" si="279"/>
        <v>0</v>
      </c>
      <c r="GH46" s="201" cm="1">
        <f t="array" ref="GH46">IF(LEFT($AG46,3)="Res",IF(OR($DU46&gt;External_Threshold,$DK46&gt;0),1*Uplift*AWE*(External),0),0)</f>
        <v>0</v>
      </c>
      <c r="GI46" s="200">
        <f t="shared" si="280"/>
        <v>0</v>
      </c>
      <c r="GJ46" s="201">
        <f t="shared" si="281"/>
        <v>0</v>
      </c>
      <c r="GK46" s="203">
        <f t="shared" si="345"/>
        <v>0</v>
      </c>
      <c r="GL46" s="199">
        <f t="shared" ca="1" si="282"/>
        <v>0</v>
      </c>
      <c r="GM46" s="200">
        <f t="shared" si="283"/>
        <v>0</v>
      </c>
      <c r="GN46" s="201">
        <f t="shared" ca="1" si="284"/>
        <v>0</v>
      </c>
      <c r="GO46" s="200">
        <f t="shared" si="285"/>
        <v>0</v>
      </c>
      <c r="GP46" s="201" cm="1">
        <f t="array" ref="GP46">IF(LEFT($AG46,3)="Res",IF(OR($DV46&gt;External_Threshold,$DL46&gt;0),1*Uplift*AWE*(External),0),0)</f>
        <v>0</v>
      </c>
      <c r="GQ46" s="200">
        <f t="shared" si="286"/>
        <v>0</v>
      </c>
      <c r="GR46" s="201">
        <f t="shared" si="287"/>
        <v>0</v>
      </c>
      <c r="GS46" s="203">
        <f t="shared" si="346"/>
        <v>0</v>
      </c>
      <c r="GT46" s="199">
        <f t="shared" ca="1" si="288"/>
        <v>0</v>
      </c>
      <c r="GU46" s="200">
        <f t="shared" si="289"/>
        <v>0</v>
      </c>
      <c r="GV46" s="201">
        <f t="shared" ca="1" si="290"/>
        <v>0</v>
      </c>
      <c r="GW46" s="200">
        <f t="shared" si="291"/>
        <v>0</v>
      </c>
      <c r="GX46" s="201" cm="1">
        <f t="array" ref="GX46">IF(LEFT($AG46,3)="Res",IF(OR($DW46&gt;External_Threshold,$DM46&gt;0),1*Uplift*AWE*(External),0),0)</f>
        <v>0</v>
      </c>
      <c r="GY46" s="200">
        <f t="shared" si="292"/>
        <v>0</v>
      </c>
      <c r="GZ46" s="201">
        <f t="shared" si="293"/>
        <v>0</v>
      </c>
      <c r="HA46" s="203">
        <f t="shared" si="347"/>
        <v>0</v>
      </c>
      <c r="HB46" s="54"/>
      <c r="HC46" s="54"/>
      <c r="HD46" s="54"/>
      <c r="HE46" s="54"/>
      <c r="HF46" s="54"/>
      <c r="HG46" s="201">
        <f t="shared" ca="1" si="348"/>
        <v>283713.31732286001</v>
      </c>
      <c r="HH46" s="201">
        <f t="shared" ca="1" si="349"/>
        <v>210334.0836974851</v>
      </c>
      <c r="HI46" s="201">
        <f t="shared" ca="1" si="350"/>
        <v>187221.17533308646</v>
      </c>
      <c r="HJ46" s="201">
        <f t="shared" ca="1" si="351"/>
        <v>22974.081041968162</v>
      </c>
      <c r="HK46" s="201">
        <f t="shared" ca="1" si="352"/>
        <v>0</v>
      </c>
      <c r="HL46" s="201">
        <f t="shared" ca="1" si="353"/>
        <v>0</v>
      </c>
      <c r="HM46" s="201">
        <f t="shared" ca="1" si="354"/>
        <v>0</v>
      </c>
      <c r="HN46" s="201">
        <f t="shared" ca="1" si="355"/>
        <v>0</v>
      </c>
      <c r="HO46" s="201">
        <f t="shared" ca="1" si="356"/>
        <v>0</v>
      </c>
      <c r="HP46" s="201">
        <f t="shared" ca="1" si="357"/>
        <v>0</v>
      </c>
      <c r="HQ46" s="54"/>
    </row>
    <row r="47" spans="1:225" x14ac:dyDescent="0.3">
      <c r="A47" s="513">
        <v>29</v>
      </c>
      <c r="B47" s="514" t="s">
        <v>452</v>
      </c>
      <c r="C47" s="514" t="s">
        <v>390</v>
      </c>
      <c r="D47" s="514" t="s">
        <v>390</v>
      </c>
      <c r="E47" s="513">
        <v>2</v>
      </c>
      <c r="F47" s="515">
        <v>7.03</v>
      </c>
      <c r="G47" s="515">
        <v>4.2</v>
      </c>
      <c r="H47" s="513">
        <v>1</v>
      </c>
      <c r="I47" s="517">
        <v>4</v>
      </c>
      <c r="J47" s="518" t="s">
        <v>256</v>
      </c>
      <c r="K47" s="513">
        <f t="shared" si="204"/>
        <v>100</v>
      </c>
      <c r="L47" s="519">
        <v>7.37</v>
      </c>
      <c r="M47" s="519">
        <v>6.47</v>
      </c>
      <c r="N47" s="519">
        <v>6.17</v>
      </c>
      <c r="O47" s="519">
        <v>5.87</v>
      </c>
      <c r="P47" s="519">
        <v>5.45</v>
      </c>
      <c r="Q47" s="519">
        <v>4.97</v>
      </c>
      <c r="R47" s="519">
        <v>4.17</v>
      </c>
      <c r="S47" s="519">
        <v>0</v>
      </c>
      <c r="T47" s="519">
        <v>0</v>
      </c>
      <c r="U47" s="519">
        <v>0</v>
      </c>
      <c r="V47" s="536"/>
      <c r="W47" s="536"/>
      <c r="X47" s="536"/>
      <c r="Y47" s="536"/>
      <c r="Z47" s="536"/>
      <c r="AA47" s="536"/>
      <c r="AB47" s="536"/>
      <c r="AC47" s="536"/>
      <c r="AD47" s="536"/>
      <c r="AE47" s="536"/>
      <c r="AF47" s="54"/>
      <c r="AG47" s="204" t="str">
        <f t="shared" si="465"/>
        <v>Res2</v>
      </c>
      <c r="AH47" s="204">
        <f t="shared" si="294"/>
        <v>7</v>
      </c>
      <c r="AI47" s="204">
        <f t="shared" si="205"/>
        <v>1</v>
      </c>
      <c r="AJ47" s="54"/>
      <c r="AK47" s="74">
        <f>IFERROR(IF(H47&gt;4,0,AI47*Inputs!$C$55),0)</f>
        <v>2.6</v>
      </c>
      <c r="AL47" s="81">
        <f>IFERROR(Inputs!$C$73,0)</f>
        <v>5</v>
      </c>
      <c r="AM47" s="211">
        <f>IFERROR(Inputs!$C$74,0)</f>
        <v>0.24299999999999999</v>
      </c>
      <c r="AN47" s="446">
        <f>IFERROR(HLOOKUP(HLOOKUP(AN$17,$V$18:$AE47,COUNTA($AK$18:$AK47),FALSE),Inputs!$B$58:$H$59,2,FALSE),0)</f>
        <v>0</v>
      </c>
      <c r="AO47" s="447">
        <f t="shared" si="295"/>
        <v>0</v>
      </c>
      <c r="AP47" s="447">
        <f t="shared" si="296"/>
        <v>0</v>
      </c>
      <c r="AQ47" s="446">
        <f>IFERROR(HLOOKUP(HLOOKUP(AQ$17,$V$18:$AE47,COUNTA($AK$18:$AK47),FALSE),Inputs!$B$58:$H$59,2,FALSE),0)</f>
        <v>0</v>
      </c>
      <c r="AR47" s="447">
        <f t="shared" ref="AR47" si="688">2*$AK47*AQ47*$AL47/100*$AM47</f>
        <v>0</v>
      </c>
      <c r="AS47" s="447">
        <f t="shared" si="298"/>
        <v>0</v>
      </c>
      <c r="AT47" s="446">
        <f>IFERROR(HLOOKUP(HLOOKUP(AT$17,$V$18:$AE47,COUNTA($AK$18:$AK47),FALSE),Inputs!$B$58:$H$59,2,FALSE),0)</f>
        <v>0</v>
      </c>
      <c r="AU47" s="447">
        <f t="shared" ref="AU47" si="689">2*$AK47*AT47*$AL47/100*$AM47</f>
        <v>0</v>
      </c>
      <c r="AV47" s="447">
        <f t="shared" si="300"/>
        <v>0</v>
      </c>
      <c r="AW47" s="446">
        <f>IFERROR(HLOOKUP(HLOOKUP(AW$17,$V$18:$AE47,COUNTA($AK$18:$AK47),FALSE),Inputs!$B$58:$H$59,2,FALSE),0)</f>
        <v>0</v>
      </c>
      <c r="AX47" s="447">
        <f t="shared" ref="AX47" si="690">2*$AK47*AW47*$AL47/100*$AM47</f>
        <v>0</v>
      </c>
      <c r="AY47" s="447">
        <f t="shared" si="302"/>
        <v>0</v>
      </c>
      <c r="AZ47" s="446">
        <f>IFERROR(HLOOKUP(HLOOKUP(AZ$17,$V$18:$AE47,COUNTA($AK$18:$AK47),FALSE),Inputs!$B$58:$H$59,2,FALSE),0)</f>
        <v>0</v>
      </c>
      <c r="BA47" s="447">
        <f t="shared" ref="BA47" si="691">2*$AK47*AZ47*$AL47/100*$AM47</f>
        <v>0</v>
      </c>
      <c r="BB47" s="447">
        <f t="shared" si="304"/>
        <v>0</v>
      </c>
      <c r="BC47" s="446">
        <f>IFERROR(HLOOKUP(HLOOKUP(BC$17,$V$18:$AE47,COUNTA($AK$18:$AK47),FALSE),Inputs!$B$58:$H$59,2,FALSE),0)</f>
        <v>0</v>
      </c>
      <c r="BD47" s="447">
        <f t="shared" ref="BD47" si="692">2*$AK47*BC47*$AL47/100*$AM47</f>
        <v>0</v>
      </c>
      <c r="BE47" s="447">
        <f t="shared" si="306"/>
        <v>0</v>
      </c>
      <c r="BF47" s="446">
        <f>IFERROR(HLOOKUP(HLOOKUP(BF$17,$V$18:$AE47,COUNTA($AK$18:$AK47),FALSE),Inputs!$B$58:$H$59,2,FALSE),0)</f>
        <v>0</v>
      </c>
      <c r="BG47" s="447">
        <f t="shared" ref="BG47" si="693">2*$AK47*BF47*$AL47/100*$AM47</f>
        <v>0</v>
      </c>
      <c r="BH47" s="447">
        <f t="shared" si="308"/>
        <v>0</v>
      </c>
      <c r="BI47" s="446">
        <f>IFERROR(HLOOKUP(HLOOKUP(BI$17,$V$18:$AE47,COUNTA($AK$18:$AK47),FALSE),Inputs!$B$58:$H$59,2,FALSE),0)</f>
        <v>0</v>
      </c>
      <c r="BJ47" s="447">
        <f t="shared" ref="BJ47" si="694">2*$AK47*BI47*$AL47/100*$AM47</f>
        <v>0</v>
      </c>
      <c r="BK47" s="447">
        <f t="shared" si="310"/>
        <v>0</v>
      </c>
      <c r="BL47" s="446">
        <f>IFERROR(HLOOKUP(HLOOKUP(BL$17,$V$18:$AE47,COUNTA($AK$18:$AK47),FALSE),Inputs!$B$58:$H$59,2,FALSE),0)</f>
        <v>0</v>
      </c>
      <c r="BM47" s="447">
        <f t="shared" ref="BM47" si="695">2*$AK47*BL47*$AL47/100*$AM47</f>
        <v>0</v>
      </c>
      <c r="BN47" s="447">
        <f t="shared" si="312"/>
        <v>0</v>
      </c>
      <c r="BO47" s="446">
        <f>IFERROR(HLOOKUP(HLOOKUP(BO$17,$V$18:$AE47,COUNTA($AK$18:$AK47),FALSE),Inputs!$B$58:$H$59,2,FALSE),0)</f>
        <v>0</v>
      </c>
      <c r="BP47" s="447">
        <f t="shared" ref="BP47" si="696">2*$AK47*BO47*$AL47/100*$AM47</f>
        <v>0</v>
      </c>
      <c r="BQ47" s="447">
        <f t="shared" si="314"/>
        <v>0</v>
      </c>
      <c r="BR47" s="54"/>
      <c r="BS47" s="103">
        <f t="shared" ca="1" si="224"/>
        <v>54.673152484322245</v>
      </c>
      <c r="BT47" s="103">
        <f t="shared" ca="1" si="396"/>
        <v>32.806735470039634</v>
      </c>
      <c r="BU47" s="103">
        <f t="shared" si="397"/>
        <v>1160.9341895803186</v>
      </c>
      <c r="BV47" s="103">
        <f t="shared" si="398"/>
        <v>0</v>
      </c>
      <c r="BW47" s="152">
        <f t="shared" ca="1" si="399"/>
        <v>1248.4140775346805</v>
      </c>
      <c r="BX47" s="441"/>
      <c r="BY47" s="94" t="s">
        <v>91</v>
      </c>
      <c r="BZ47" s="356">
        <f>$DM$9</f>
        <v>0</v>
      </c>
      <c r="CA47" s="95">
        <f>$DM$7</f>
        <v>0</v>
      </c>
      <c r="CB47" s="79">
        <f ca="1">$GT$10</f>
        <v>0</v>
      </c>
      <c r="CC47" s="79" t="str">
        <f ca="1">$GT$9</f>
        <v>--</v>
      </c>
      <c r="CD47" s="54"/>
      <c r="CE47" s="94" t="s">
        <v>91</v>
      </c>
      <c r="CF47" s="356">
        <f>$DM$9</f>
        <v>0</v>
      </c>
      <c r="CG47" s="95">
        <f>$DM$7</f>
        <v>0</v>
      </c>
      <c r="CH47" s="79">
        <f ca="1">$GV$10</f>
        <v>0</v>
      </c>
      <c r="CI47" s="79" t="str">
        <f ca="1">$GV$9</f>
        <v>--</v>
      </c>
      <c r="CJ47" s="54"/>
      <c r="CK47" s="94" t="s">
        <v>91</v>
      </c>
      <c r="CL47" s="356">
        <f>$DW$9</f>
        <v>0</v>
      </c>
      <c r="CM47" s="95">
        <f>$DW$7</f>
        <v>0</v>
      </c>
      <c r="CN47" s="79">
        <f>$GX$10</f>
        <v>0</v>
      </c>
      <c r="CO47" s="79" t="str">
        <f>$GX$9</f>
        <v>--</v>
      </c>
      <c r="CP47" s="54"/>
      <c r="CQ47" s="94" t="s">
        <v>91</v>
      </c>
      <c r="CR47" s="356">
        <f>$DM$9</f>
        <v>0</v>
      </c>
      <c r="CS47" s="95">
        <f>$DM$7</f>
        <v>0</v>
      </c>
      <c r="CT47" s="79">
        <f>$GZ$10</f>
        <v>0</v>
      </c>
      <c r="CU47" s="79" t="str">
        <f>$GZ$9</f>
        <v>--</v>
      </c>
      <c r="CV47" s="54"/>
      <c r="CW47" s="94" t="s">
        <v>91</v>
      </c>
      <c r="CX47" s="356">
        <f>$DM$9</f>
        <v>0</v>
      </c>
      <c r="CY47" s="95">
        <f>$DM$7</f>
        <v>0</v>
      </c>
      <c r="CZ47" s="79">
        <f ca="1">SUM(DetailedStructural[[#This Row],[Total Damages]],DetailedInternal[[#This Row],[Total Damages]],DetailedExternal[[#This Row],[Total Damages]],DetailedRiskToLife[[#This Row],[Total Damages]])</f>
        <v>0</v>
      </c>
      <c r="DA47" s="79">
        <f ca="1">SUM(DetailedStructural[[#This Row],[AAD per Property]],DetailedInternal[[#This Row],[AAD per Property]],DetailedExternal[[#This Row],[AAD per Property]],DetailedRiskToLife[[#This Row],[AAD per Property]])</f>
        <v>0</v>
      </c>
      <c r="DB47" s="54"/>
      <c r="DC47" s="54"/>
      <c r="DD47" s="188">
        <f t="shared" si="315"/>
        <v>0.33999999999999986</v>
      </c>
      <c r="DE47" s="188">
        <f t="shared" si="316"/>
        <v>-0.3</v>
      </c>
      <c r="DF47" s="188">
        <f t="shared" si="317"/>
        <v>-0.3</v>
      </c>
      <c r="DG47" s="188">
        <f t="shared" si="318"/>
        <v>-0.3</v>
      </c>
      <c r="DH47" s="188">
        <f t="shared" si="319"/>
        <v>-0.3</v>
      </c>
      <c r="DI47" s="188">
        <f t="shared" si="320"/>
        <v>-0.3</v>
      </c>
      <c r="DJ47" s="188">
        <f t="shared" si="321"/>
        <v>-0.3</v>
      </c>
      <c r="DK47" s="188">
        <f t="shared" si="322"/>
        <v>-0.3</v>
      </c>
      <c r="DL47" s="188">
        <f t="shared" si="323"/>
        <v>-0.3</v>
      </c>
      <c r="DM47" s="188">
        <f t="shared" si="324"/>
        <v>-0.3</v>
      </c>
      <c r="DN47" s="189">
        <f t="shared" si="325"/>
        <v>3.17</v>
      </c>
      <c r="DO47" s="189">
        <f t="shared" si="326"/>
        <v>2.2699999999999996</v>
      </c>
      <c r="DP47" s="189">
        <f t="shared" si="327"/>
        <v>1.9699999999999998</v>
      </c>
      <c r="DQ47" s="189">
        <f t="shared" si="328"/>
        <v>1.67</v>
      </c>
      <c r="DR47" s="189">
        <f t="shared" si="329"/>
        <v>1.25</v>
      </c>
      <c r="DS47" s="189">
        <f t="shared" si="330"/>
        <v>0.76999999999999957</v>
      </c>
      <c r="DT47" s="189">
        <f t="shared" si="331"/>
        <v>0</v>
      </c>
      <c r="DU47" s="189">
        <f t="shared" si="332"/>
        <v>0</v>
      </c>
      <c r="DV47" s="189">
        <f t="shared" si="333"/>
        <v>0</v>
      </c>
      <c r="DW47" s="189">
        <f t="shared" si="334"/>
        <v>0</v>
      </c>
      <c r="DX47" s="54"/>
      <c r="DY47" s="54"/>
      <c r="DZ47" s="199">
        <f t="shared" ca="1" si="237"/>
        <v>54947.891944042458</v>
      </c>
      <c r="EA47" s="200">
        <f t="shared" si="335"/>
        <v>1</v>
      </c>
      <c r="EB47" s="201">
        <f t="shared" ca="1" si="238"/>
        <v>32971.593437225762</v>
      </c>
      <c r="EC47" s="200">
        <f t="shared" si="336"/>
        <v>1</v>
      </c>
      <c r="ED47" s="201" cm="1">
        <f t="array" ref="ED47">IF(LEFT($AG47,3)="Res",IF(OR($DN47&gt;External_Threshold,$DD47&gt;0),1*Uplift*AWE*(External),0),0)</f>
        <v>15481.186685962373</v>
      </c>
      <c r="EE47" s="200">
        <f t="shared" si="337"/>
        <v>1</v>
      </c>
      <c r="EF47" s="201">
        <f t="shared" si="239"/>
        <v>0</v>
      </c>
      <c r="EG47" s="203">
        <f t="shared" si="338"/>
        <v>0</v>
      </c>
      <c r="EH47" s="199">
        <f t="shared" ca="1" si="240"/>
        <v>0</v>
      </c>
      <c r="EI47" s="200">
        <f t="shared" si="241"/>
        <v>0</v>
      </c>
      <c r="EJ47" s="201">
        <f t="shared" ca="1" si="242"/>
        <v>0</v>
      </c>
      <c r="EK47" s="200">
        <f t="shared" si="243"/>
        <v>0</v>
      </c>
      <c r="EL47" s="201" cm="1">
        <f t="array" ref="EL47">IF(LEFT($AG47,3)="Res",IF(OR($DO47&gt;External_Threshold,$DE47&gt;0),1*Uplift*AWE*(External),0),0)</f>
        <v>15481.186685962373</v>
      </c>
      <c r="EM47" s="200">
        <f t="shared" si="244"/>
        <v>1</v>
      </c>
      <c r="EN47" s="201">
        <f t="shared" si="245"/>
        <v>0</v>
      </c>
      <c r="EO47" s="203">
        <f t="shared" si="339"/>
        <v>0</v>
      </c>
      <c r="EP47" s="199">
        <f t="shared" ca="1" si="246"/>
        <v>0</v>
      </c>
      <c r="EQ47" s="200">
        <f t="shared" si="247"/>
        <v>0</v>
      </c>
      <c r="ER47" s="201">
        <f t="shared" ca="1" si="248"/>
        <v>0</v>
      </c>
      <c r="ES47" s="200">
        <f t="shared" si="249"/>
        <v>0</v>
      </c>
      <c r="ET47" s="201" cm="1">
        <f t="array" ref="ET47">IF(LEFT($AG47,3)="Res",IF(OR($DP47&gt;External_Threshold,$DF47&gt;0),1*Uplift*AWE*(External),0),0)</f>
        <v>15481.186685962373</v>
      </c>
      <c r="EU47" s="200">
        <f t="shared" si="250"/>
        <v>1</v>
      </c>
      <c r="EV47" s="201">
        <f t="shared" si="251"/>
        <v>0</v>
      </c>
      <c r="EW47" s="203">
        <f t="shared" si="340"/>
        <v>0</v>
      </c>
      <c r="EX47" s="199">
        <f t="shared" ca="1" si="252"/>
        <v>0</v>
      </c>
      <c r="EY47" s="200">
        <f t="shared" si="253"/>
        <v>0</v>
      </c>
      <c r="EZ47" s="201">
        <f t="shared" ca="1" si="254"/>
        <v>0</v>
      </c>
      <c r="FA47" s="200">
        <f t="shared" si="255"/>
        <v>0</v>
      </c>
      <c r="FB47" s="201" cm="1">
        <f t="array" ref="FB47">IF(LEFT($AG47,3)="Res",IF(OR($DQ47&gt;External_Threshold,$DG47&gt;0),1*Uplift*AWE*(External),0),0)</f>
        <v>15481.186685962373</v>
      </c>
      <c r="FC47" s="200">
        <f t="shared" si="256"/>
        <v>1</v>
      </c>
      <c r="FD47" s="201">
        <f t="shared" si="257"/>
        <v>0</v>
      </c>
      <c r="FE47" s="203">
        <f t="shared" si="341"/>
        <v>0</v>
      </c>
      <c r="FF47" s="199">
        <f t="shared" ca="1" si="258"/>
        <v>0</v>
      </c>
      <c r="FG47" s="200">
        <f t="shared" si="259"/>
        <v>0</v>
      </c>
      <c r="FH47" s="201">
        <f t="shared" ca="1" si="260"/>
        <v>0</v>
      </c>
      <c r="FI47" s="200">
        <f t="shared" si="261"/>
        <v>0</v>
      </c>
      <c r="FJ47" s="201" cm="1">
        <f t="array" ref="FJ47">IF(LEFT($AG47,3)="Res",IF(OR($DR47&gt;External_Threshold,$DH47&gt;0),1*Uplift*AWE*(External),0),0)</f>
        <v>15481.186685962373</v>
      </c>
      <c r="FK47" s="200">
        <f t="shared" si="262"/>
        <v>1</v>
      </c>
      <c r="FL47" s="201">
        <f t="shared" si="263"/>
        <v>0</v>
      </c>
      <c r="FM47" s="203">
        <f t="shared" si="342"/>
        <v>0</v>
      </c>
      <c r="FN47" s="199">
        <f t="shared" ca="1" si="264"/>
        <v>0</v>
      </c>
      <c r="FO47" s="200">
        <f t="shared" si="265"/>
        <v>0</v>
      </c>
      <c r="FP47" s="201">
        <f t="shared" ca="1" si="266"/>
        <v>0</v>
      </c>
      <c r="FQ47" s="200">
        <f t="shared" si="267"/>
        <v>0</v>
      </c>
      <c r="FR47" s="201" cm="1">
        <f t="array" ref="FR47">IF(LEFT($AG47,3)="Res",IF(OR($DS47&gt;External_Threshold,$DI47&gt;0),1*Uplift*AWE*(External),0),0)</f>
        <v>15481.186685962373</v>
      </c>
      <c r="FS47" s="200">
        <f t="shared" si="268"/>
        <v>1</v>
      </c>
      <c r="FT47" s="201">
        <f t="shared" si="269"/>
        <v>0</v>
      </c>
      <c r="FU47" s="203">
        <f t="shared" si="343"/>
        <v>0</v>
      </c>
      <c r="FV47" s="199">
        <f t="shared" ca="1" si="270"/>
        <v>0</v>
      </c>
      <c r="FW47" s="200">
        <f t="shared" si="271"/>
        <v>0</v>
      </c>
      <c r="FX47" s="201">
        <f t="shared" ca="1" si="272"/>
        <v>0</v>
      </c>
      <c r="FY47" s="200">
        <f t="shared" si="273"/>
        <v>0</v>
      </c>
      <c r="FZ47" s="201" cm="1">
        <f t="array" ref="FZ47">IF(LEFT($AG47,3)="Res",IF(OR($DT47&gt;External_Threshold,$DJ47&gt;0),1*Uplift*AWE*(External),0),0)</f>
        <v>0</v>
      </c>
      <c r="GA47" s="200">
        <f t="shared" si="274"/>
        <v>0</v>
      </c>
      <c r="GB47" s="201">
        <f t="shared" si="275"/>
        <v>0</v>
      </c>
      <c r="GC47" s="203">
        <f t="shared" si="344"/>
        <v>0</v>
      </c>
      <c r="GD47" s="199">
        <f t="shared" ca="1" si="276"/>
        <v>0</v>
      </c>
      <c r="GE47" s="200">
        <f t="shared" si="277"/>
        <v>0</v>
      </c>
      <c r="GF47" s="201">
        <f t="shared" ca="1" si="278"/>
        <v>0</v>
      </c>
      <c r="GG47" s="200">
        <f t="shared" si="279"/>
        <v>0</v>
      </c>
      <c r="GH47" s="201" cm="1">
        <f t="array" ref="GH47">IF(LEFT($AG47,3)="Res",IF(OR($DU47&gt;External_Threshold,$DK47&gt;0),1*Uplift*AWE*(External),0),0)</f>
        <v>0</v>
      </c>
      <c r="GI47" s="200">
        <f t="shared" si="280"/>
        <v>0</v>
      </c>
      <c r="GJ47" s="201">
        <f t="shared" si="281"/>
        <v>0</v>
      </c>
      <c r="GK47" s="203">
        <f t="shared" si="345"/>
        <v>0</v>
      </c>
      <c r="GL47" s="199">
        <f t="shared" ca="1" si="282"/>
        <v>0</v>
      </c>
      <c r="GM47" s="200">
        <f t="shared" si="283"/>
        <v>0</v>
      </c>
      <c r="GN47" s="201">
        <f t="shared" ca="1" si="284"/>
        <v>0</v>
      </c>
      <c r="GO47" s="200">
        <f t="shared" si="285"/>
        <v>0</v>
      </c>
      <c r="GP47" s="201" cm="1">
        <f t="array" ref="GP47">IF(LEFT($AG47,3)="Res",IF(OR($DV47&gt;External_Threshold,$DL47&gt;0),1*Uplift*AWE*(External),0),0)</f>
        <v>0</v>
      </c>
      <c r="GQ47" s="200">
        <f t="shared" si="286"/>
        <v>0</v>
      </c>
      <c r="GR47" s="201">
        <f t="shared" si="287"/>
        <v>0</v>
      </c>
      <c r="GS47" s="203">
        <f t="shared" si="346"/>
        <v>0</v>
      </c>
      <c r="GT47" s="199">
        <f t="shared" ca="1" si="288"/>
        <v>0</v>
      </c>
      <c r="GU47" s="200">
        <f t="shared" si="289"/>
        <v>0</v>
      </c>
      <c r="GV47" s="201">
        <f t="shared" ca="1" si="290"/>
        <v>0</v>
      </c>
      <c r="GW47" s="200">
        <f t="shared" si="291"/>
        <v>0</v>
      </c>
      <c r="GX47" s="201" cm="1">
        <f t="array" ref="GX47">IF(LEFT($AG47,3)="Res",IF(OR($DW47&gt;External_Threshold,$DM47&gt;0),1*Uplift*AWE*(External),0),0)</f>
        <v>0</v>
      </c>
      <c r="GY47" s="200">
        <f t="shared" si="292"/>
        <v>0</v>
      </c>
      <c r="GZ47" s="201">
        <f t="shared" si="293"/>
        <v>0</v>
      </c>
      <c r="HA47" s="203">
        <f t="shared" si="347"/>
        <v>0</v>
      </c>
      <c r="HB47" s="54"/>
      <c r="HC47" s="54"/>
      <c r="HD47" s="54"/>
      <c r="HE47" s="54"/>
      <c r="HF47" s="54"/>
      <c r="HG47" s="201">
        <f t="shared" ca="1" si="348"/>
        <v>103400.6720672306</v>
      </c>
      <c r="HH47" s="201">
        <f t="shared" ca="1" si="349"/>
        <v>15481.186685962373</v>
      </c>
      <c r="HI47" s="201">
        <f t="shared" ca="1" si="350"/>
        <v>15481.186685962373</v>
      </c>
      <c r="HJ47" s="201">
        <f t="shared" ca="1" si="351"/>
        <v>15481.186685962373</v>
      </c>
      <c r="HK47" s="201">
        <f t="shared" ca="1" si="352"/>
        <v>15481.186685962373</v>
      </c>
      <c r="HL47" s="201">
        <f t="shared" ca="1" si="353"/>
        <v>15481.186685962373</v>
      </c>
      <c r="HM47" s="201">
        <f t="shared" ca="1" si="354"/>
        <v>0</v>
      </c>
      <c r="HN47" s="201">
        <f t="shared" ca="1" si="355"/>
        <v>0</v>
      </c>
      <c r="HO47" s="201">
        <f t="shared" ca="1" si="356"/>
        <v>0</v>
      </c>
      <c r="HP47" s="201">
        <f t="shared" ca="1" si="357"/>
        <v>0</v>
      </c>
      <c r="HQ47" s="54"/>
    </row>
    <row r="48" spans="1:225" x14ac:dyDescent="0.3">
      <c r="A48" s="513">
        <v>30</v>
      </c>
      <c r="B48" s="514" t="s">
        <v>453</v>
      </c>
      <c r="C48" s="514" t="s">
        <v>390</v>
      </c>
      <c r="D48" s="514" t="s">
        <v>390</v>
      </c>
      <c r="E48" s="513">
        <v>2</v>
      </c>
      <c r="F48" s="515">
        <v>7.24</v>
      </c>
      <c r="G48" s="515">
        <v>7.22</v>
      </c>
      <c r="H48" s="513">
        <v>1</v>
      </c>
      <c r="I48" s="517">
        <v>5</v>
      </c>
      <c r="J48" s="518" t="s">
        <v>256</v>
      </c>
      <c r="K48" s="513">
        <f t="shared" si="204"/>
        <v>100</v>
      </c>
      <c r="L48" s="519">
        <v>7.3</v>
      </c>
      <c r="M48" s="519">
        <v>6.5</v>
      </c>
      <c r="N48" s="519">
        <v>6.2</v>
      </c>
      <c r="O48" s="519">
        <v>5.9</v>
      </c>
      <c r="P48" s="519">
        <v>5.45</v>
      </c>
      <c r="Q48" s="519">
        <v>4.97</v>
      </c>
      <c r="R48" s="519">
        <v>4.17</v>
      </c>
      <c r="S48" s="519">
        <v>0</v>
      </c>
      <c r="T48" s="519">
        <v>0</v>
      </c>
      <c r="U48" s="519">
        <v>0</v>
      </c>
      <c r="V48" s="536"/>
      <c r="W48" s="536"/>
      <c r="X48" s="536"/>
      <c r="Y48" s="536"/>
      <c r="Z48" s="536"/>
      <c r="AA48" s="536"/>
      <c r="AB48" s="536"/>
      <c r="AC48" s="536"/>
      <c r="AD48" s="536"/>
      <c r="AE48" s="536"/>
      <c r="AF48" s="54"/>
      <c r="AG48" s="204" t="str">
        <f t="shared" si="465"/>
        <v>Res2</v>
      </c>
      <c r="AH48" s="204">
        <f t="shared" si="294"/>
        <v>7</v>
      </c>
      <c r="AI48" s="204">
        <f t="shared" si="205"/>
        <v>1</v>
      </c>
      <c r="AJ48" s="54"/>
      <c r="AK48" s="74">
        <f>IFERROR(IF(H48&gt;4,0,AI48*Inputs!$C$55),0)</f>
        <v>2.6</v>
      </c>
      <c r="AL48" s="81">
        <f>IFERROR(Inputs!$C$73,0)</f>
        <v>5</v>
      </c>
      <c r="AM48" s="211">
        <f>IFERROR(Inputs!$C$74,0)</f>
        <v>0.24299999999999999</v>
      </c>
      <c r="AN48" s="446">
        <f>IFERROR(HLOOKUP(HLOOKUP(AN$17,$V$18:$AE48,COUNTA($AK$18:$AK48),FALSE),Inputs!$B$58:$H$59,2,FALSE),0)</f>
        <v>0</v>
      </c>
      <c r="AO48" s="447">
        <f t="shared" si="295"/>
        <v>0</v>
      </c>
      <c r="AP48" s="447">
        <f t="shared" si="296"/>
        <v>0</v>
      </c>
      <c r="AQ48" s="446">
        <f>IFERROR(HLOOKUP(HLOOKUP(AQ$17,$V$18:$AE48,COUNTA($AK$18:$AK48),FALSE),Inputs!$B$58:$H$59,2,FALSE),0)</f>
        <v>0</v>
      </c>
      <c r="AR48" s="447">
        <f t="shared" ref="AR48" si="697">2*$AK48*AQ48*$AL48/100*$AM48</f>
        <v>0</v>
      </c>
      <c r="AS48" s="447">
        <f t="shared" si="298"/>
        <v>0</v>
      </c>
      <c r="AT48" s="446">
        <f>IFERROR(HLOOKUP(HLOOKUP(AT$17,$V$18:$AE48,COUNTA($AK$18:$AK48),FALSE),Inputs!$B$58:$H$59,2,FALSE),0)</f>
        <v>0</v>
      </c>
      <c r="AU48" s="447">
        <f t="shared" ref="AU48" si="698">2*$AK48*AT48*$AL48/100*$AM48</f>
        <v>0</v>
      </c>
      <c r="AV48" s="447">
        <f t="shared" si="300"/>
        <v>0</v>
      </c>
      <c r="AW48" s="446">
        <f>IFERROR(HLOOKUP(HLOOKUP(AW$17,$V$18:$AE48,COUNTA($AK$18:$AK48),FALSE),Inputs!$B$58:$H$59,2,FALSE),0)</f>
        <v>0</v>
      </c>
      <c r="AX48" s="447">
        <f t="shared" ref="AX48" si="699">2*$AK48*AW48*$AL48/100*$AM48</f>
        <v>0</v>
      </c>
      <c r="AY48" s="447">
        <f t="shared" si="302"/>
        <v>0</v>
      </c>
      <c r="AZ48" s="446">
        <f>IFERROR(HLOOKUP(HLOOKUP(AZ$17,$V$18:$AE48,COUNTA($AK$18:$AK48),FALSE),Inputs!$B$58:$H$59,2,FALSE),0)</f>
        <v>0</v>
      </c>
      <c r="BA48" s="447">
        <f t="shared" ref="BA48" si="700">2*$AK48*AZ48*$AL48/100*$AM48</f>
        <v>0</v>
      </c>
      <c r="BB48" s="447">
        <f t="shared" si="304"/>
        <v>0</v>
      </c>
      <c r="BC48" s="446">
        <f>IFERROR(HLOOKUP(HLOOKUP(BC$17,$V$18:$AE48,COUNTA($AK$18:$AK48),FALSE),Inputs!$B$58:$H$59,2,FALSE),0)</f>
        <v>0</v>
      </c>
      <c r="BD48" s="447">
        <f t="shared" ref="BD48" si="701">2*$AK48*BC48*$AL48/100*$AM48</f>
        <v>0</v>
      </c>
      <c r="BE48" s="447">
        <f t="shared" si="306"/>
        <v>0</v>
      </c>
      <c r="BF48" s="446">
        <f>IFERROR(HLOOKUP(HLOOKUP(BF$17,$V$18:$AE48,COUNTA($AK$18:$AK48),FALSE),Inputs!$B$58:$H$59,2,FALSE),0)</f>
        <v>0</v>
      </c>
      <c r="BG48" s="447">
        <f t="shared" ref="BG48" si="702">2*$AK48*BF48*$AL48/100*$AM48</f>
        <v>0</v>
      </c>
      <c r="BH48" s="447">
        <f t="shared" si="308"/>
        <v>0</v>
      </c>
      <c r="BI48" s="446">
        <f>IFERROR(HLOOKUP(HLOOKUP(BI$17,$V$18:$AE48,COUNTA($AK$18:$AK48),FALSE),Inputs!$B$58:$H$59,2,FALSE),0)</f>
        <v>0</v>
      </c>
      <c r="BJ48" s="447">
        <f t="shared" ref="BJ48" si="703">2*$AK48*BI48*$AL48/100*$AM48</f>
        <v>0</v>
      </c>
      <c r="BK48" s="447">
        <f t="shared" si="310"/>
        <v>0</v>
      </c>
      <c r="BL48" s="446">
        <f>IFERROR(HLOOKUP(HLOOKUP(BL$17,$V$18:$AE48,COUNTA($AK$18:$AK48),FALSE),Inputs!$B$58:$H$59,2,FALSE),0)</f>
        <v>0</v>
      </c>
      <c r="BM48" s="447">
        <f t="shared" ref="BM48" si="704">2*$AK48*BL48*$AL48/100*$AM48</f>
        <v>0</v>
      </c>
      <c r="BN48" s="447">
        <f t="shared" si="312"/>
        <v>0</v>
      </c>
      <c r="BO48" s="446">
        <f>IFERROR(HLOOKUP(HLOOKUP(BO$17,$V$18:$AE48,COUNTA($AK$18:$AK48),FALSE),Inputs!$B$58:$H$59,2,FALSE),0)</f>
        <v>0</v>
      </c>
      <c r="BP48" s="447">
        <f t="shared" ref="BP48" si="705">2*$AK48*BO48*$AL48/100*$AM48</f>
        <v>0</v>
      </c>
      <c r="BQ48" s="447">
        <f t="shared" si="314"/>
        <v>0</v>
      </c>
      <c r="BR48" s="54"/>
      <c r="BS48" s="103">
        <f t="shared" ca="1" si="224"/>
        <v>26.767064237116099</v>
      </c>
      <c r="BT48" s="103">
        <f t="shared" ca="1" si="396"/>
        <v>9.9867475783399406</v>
      </c>
      <c r="BU48" s="103">
        <f t="shared" si="397"/>
        <v>15.403780752532562</v>
      </c>
      <c r="BV48" s="103">
        <f t="shared" si="398"/>
        <v>0</v>
      </c>
      <c r="BW48" s="152">
        <f t="shared" ca="1" si="399"/>
        <v>52.157592567988601</v>
      </c>
      <c r="BX48" s="441"/>
      <c r="BY48" s="98" t="s">
        <v>92</v>
      </c>
      <c r="BZ48" s="357">
        <f>$DM$10</f>
        <v>0</v>
      </c>
      <c r="CA48" s="97">
        <f>$DM$8</f>
        <v>0</v>
      </c>
      <c r="CB48" s="99">
        <f ca="1">$GT$12</f>
        <v>0</v>
      </c>
      <c r="CC48" s="99" t="str">
        <f ca="1">$GT$11</f>
        <v>--</v>
      </c>
      <c r="CD48" s="89"/>
      <c r="CE48" s="98" t="s">
        <v>92</v>
      </c>
      <c r="CF48" s="357">
        <f>$DM$10</f>
        <v>0</v>
      </c>
      <c r="CG48" s="97">
        <f>$DM$8</f>
        <v>0</v>
      </c>
      <c r="CH48" s="99">
        <f ca="1">$GV$12</f>
        <v>0</v>
      </c>
      <c r="CI48" s="99" t="str">
        <f ca="1">$GV$11</f>
        <v>--</v>
      </c>
      <c r="CJ48" s="89"/>
      <c r="CK48" s="98" t="s">
        <v>92</v>
      </c>
      <c r="CL48" s="357">
        <f>$DW$10</f>
        <v>0</v>
      </c>
      <c r="CM48" s="97">
        <f>$DW$8</f>
        <v>0</v>
      </c>
      <c r="CN48" s="99">
        <f>$GX$12</f>
        <v>0</v>
      </c>
      <c r="CO48" s="99" t="str">
        <f>$GX$11</f>
        <v>--</v>
      </c>
      <c r="CP48" s="90"/>
      <c r="CQ48" s="98" t="s">
        <v>92</v>
      </c>
      <c r="CR48" s="357">
        <f>$DM$10</f>
        <v>0</v>
      </c>
      <c r="CS48" s="97">
        <f>$DM$8</f>
        <v>0</v>
      </c>
      <c r="CT48" s="99">
        <f>$GZ$12</f>
        <v>0</v>
      </c>
      <c r="CU48" s="99" t="str">
        <f>$GZ$11</f>
        <v>--</v>
      </c>
      <c r="CV48" s="54"/>
      <c r="CW48" s="98" t="s">
        <v>92</v>
      </c>
      <c r="CX48" s="357">
        <f>$DM$10</f>
        <v>0</v>
      </c>
      <c r="CY48" s="97">
        <f>$DM$8</f>
        <v>0</v>
      </c>
      <c r="CZ48" s="99">
        <f ca="1">SUM(DetailedStructural[[#This Row],[Total Damages]],DetailedInternal[[#This Row],[Total Damages]],DetailedExternal[[#This Row],[Total Damages]],DetailedRiskToLife[[#This Row],[Total Damages]])</f>
        <v>0</v>
      </c>
      <c r="DA48" s="99">
        <f ca="1">SUM(DetailedStructural[[#This Row],[AAD per Property]],DetailedInternal[[#This Row],[AAD per Property]],DetailedExternal[[#This Row],[AAD per Property]],DetailedRiskToLife[[#This Row],[AAD per Property]])</f>
        <v>0</v>
      </c>
      <c r="DB48" s="54"/>
      <c r="DC48" s="54"/>
      <c r="DD48" s="188">
        <f t="shared" si="315"/>
        <v>5.9999999999999609E-2</v>
      </c>
      <c r="DE48" s="188">
        <f t="shared" si="316"/>
        <v>-0.3</v>
      </c>
      <c r="DF48" s="188">
        <f t="shared" si="317"/>
        <v>-0.3</v>
      </c>
      <c r="DG48" s="188">
        <f t="shared" si="318"/>
        <v>-0.3</v>
      </c>
      <c r="DH48" s="188">
        <f t="shared" si="319"/>
        <v>-0.3</v>
      </c>
      <c r="DI48" s="188">
        <f t="shared" si="320"/>
        <v>-0.3</v>
      </c>
      <c r="DJ48" s="188">
        <f t="shared" si="321"/>
        <v>-0.3</v>
      </c>
      <c r="DK48" s="188">
        <f t="shared" si="322"/>
        <v>-0.3</v>
      </c>
      <c r="DL48" s="188">
        <f t="shared" si="323"/>
        <v>-0.3</v>
      </c>
      <c r="DM48" s="188">
        <f t="shared" si="324"/>
        <v>-0.3</v>
      </c>
      <c r="DN48" s="189">
        <f t="shared" si="325"/>
        <v>8.0000000000000071E-2</v>
      </c>
      <c r="DO48" s="189">
        <f t="shared" si="326"/>
        <v>0</v>
      </c>
      <c r="DP48" s="189">
        <f t="shared" si="327"/>
        <v>0</v>
      </c>
      <c r="DQ48" s="189">
        <f t="shared" si="328"/>
        <v>0</v>
      </c>
      <c r="DR48" s="189">
        <f t="shared" si="329"/>
        <v>0</v>
      </c>
      <c r="DS48" s="189">
        <f t="shared" si="330"/>
        <v>0</v>
      </c>
      <c r="DT48" s="189">
        <f t="shared" si="331"/>
        <v>0</v>
      </c>
      <c r="DU48" s="189">
        <f t="shared" si="332"/>
        <v>0</v>
      </c>
      <c r="DV48" s="189">
        <f t="shared" si="333"/>
        <v>0</v>
      </c>
      <c r="DW48" s="189">
        <f t="shared" si="334"/>
        <v>0</v>
      </c>
      <c r="DX48" s="54"/>
      <c r="DY48" s="54"/>
      <c r="DZ48" s="199">
        <f t="shared" ca="1" si="237"/>
        <v>26901.572097604119</v>
      </c>
      <c r="EA48" s="200">
        <f t="shared" si="335"/>
        <v>1</v>
      </c>
      <c r="EB48" s="201">
        <f t="shared" ca="1" si="238"/>
        <v>10036.932239537629</v>
      </c>
      <c r="EC48" s="200">
        <f t="shared" si="336"/>
        <v>1</v>
      </c>
      <c r="ED48" s="201" cm="1">
        <f t="array" ref="ED48">IF(LEFT($AG48,3)="Res",IF(OR($DN48&gt;External_Threshold,$DD48&gt;0),1*Uplift*AWE*(External),0),0)</f>
        <v>15481.186685962373</v>
      </c>
      <c r="EE48" s="200">
        <f t="shared" si="337"/>
        <v>1</v>
      </c>
      <c r="EF48" s="201">
        <f t="shared" si="239"/>
        <v>0</v>
      </c>
      <c r="EG48" s="203">
        <f t="shared" si="338"/>
        <v>0</v>
      </c>
      <c r="EH48" s="199">
        <f t="shared" ca="1" si="240"/>
        <v>0</v>
      </c>
      <c r="EI48" s="200">
        <f t="shared" si="241"/>
        <v>0</v>
      </c>
      <c r="EJ48" s="201">
        <f t="shared" ca="1" si="242"/>
        <v>0</v>
      </c>
      <c r="EK48" s="200">
        <f t="shared" si="243"/>
        <v>0</v>
      </c>
      <c r="EL48" s="201" cm="1">
        <f t="array" ref="EL48">IF(LEFT($AG48,3)="Res",IF(OR($DO48&gt;External_Threshold,$DE48&gt;0),1*Uplift*AWE*(External),0),0)</f>
        <v>0</v>
      </c>
      <c r="EM48" s="200">
        <f t="shared" si="244"/>
        <v>0</v>
      </c>
      <c r="EN48" s="201">
        <f t="shared" si="245"/>
        <v>0</v>
      </c>
      <c r="EO48" s="203">
        <f t="shared" si="339"/>
        <v>0</v>
      </c>
      <c r="EP48" s="199">
        <f t="shared" ca="1" si="246"/>
        <v>0</v>
      </c>
      <c r="EQ48" s="200">
        <f t="shared" si="247"/>
        <v>0</v>
      </c>
      <c r="ER48" s="201">
        <f t="shared" ca="1" si="248"/>
        <v>0</v>
      </c>
      <c r="ES48" s="200">
        <f t="shared" si="249"/>
        <v>0</v>
      </c>
      <c r="ET48" s="201" cm="1">
        <f t="array" ref="ET48">IF(LEFT($AG48,3)="Res",IF(OR($DP48&gt;External_Threshold,$DF48&gt;0),1*Uplift*AWE*(External),0),0)</f>
        <v>0</v>
      </c>
      <c r="EU48" s="200">
        <f t="shared" si="250"/>
        <v>0</v>
      </c>
      <c r="EV48" s="201">
        <f t="shared" si="251"/>
        <v>0</v>
      </c>
      <c r="EW48" s="203">
        <f t="shared" si="340"/>
        <v>0</v>
      </c>
      <c r="EX48" s="199">
        <f t="shared" ca="1" si="252"/>
        <v>0</v>
      </c>
      <c r="EY48" s="200">
        <f t="shared" si="253"/>
        <v>0</v>
      </c>
      <c r="EZ48" s="201">
        <f t="shared" ca="1" si="254"/>
        <v>0</v>
      </c>
      <c r="FA48" s="200">
        <f t="shared" si="255"/>
        <v>0</v>
      </c>
      <c r="FB48" s="201" cm="1">
        <f t="array" ref="FB48">IF(LEFT($AG48,3)="Res",IF(OR($DQ48&gt;External_Threshold,$DG48&gt;0),1*Uplift*AWE*(External),0),0)</f>
        <v>0</v>
      </c>
      <c r="FC48" s="200">
        <f t="shared" si="256"/>
        <v>0</v>
      </c>
      <c r="FD48" s="201">
        <f t="shared" si="257"/>
        <v>0</v>
      </c>
      <c r="FE48" s="203">
        <f t="shared" si="341"/>
        <v>0</v>
      </c>
      <c r="FF48" s="199">
        <f t="shared" ca="1" si="258"/>
        <v>0</v>
      </c>
      <c r="FG48" s="200">
        <f t="shared" si="259"/>
        <v>0</v>
      </c>
      <c r="FH48" s="201">
        <f t="shared" ca="1" si="260"/>
        <v>0</v>
      </c>
      <c r="FI48" s="200">
        <f t="shared" si="261"/>
        <v>0</v>
      </c>
      <c r="FJ48" s="201" cm="1">
        <f t="array" ref="FJ48">IF(LEFT($AG48,3)="Res",IF(OR($DR48&gt;External_Threshold,$DH48&gt;0),1*Uplift*AWE*(External),0),0)</f>
        <v>0</v>
      </c>
      <c r="FK48" s="200">
        <f t="shared" si="262"/>
        <v>0</v>
      </c>
      <c r="FL48" s="201">
        <f t="shared" si="263"/>
        <v>0</v>
      </c>
      <c r="FM48" s="203">
        <f t="shared" si="342"/>
        <v>0</v>
      </c>
      <c r="FN48" s="199">
        <f t="shared" ca="1" si="264"/>
        <v>0</v>
      </c>
      <c r="FO48" s="200">
        <f t="shared" si="265"/>
        <v>0</v>
      </c>
      <c r="FP48" s="201">
        <f t="shared" ca="1" si="266"/>
        <v>0</v>
      </c>
      <c r="FQ48" s="200">
        <f t="shared" si="267"/>
        <v>0</v>
      </c>
      <c r="FR48" s="201" cm="1">
        <f t="array" ref="FR48">IF(LEFT($AG48,3)="Res",IF(OR($DS48&gt;External_Threshold,$DI48&gt;0),1*Uplift*AWE*(External),0),0)</f>
        <v>0</v>
      </c>
      <c r="FS48" s="200">
        <f t="shared" si="268"/>
        <v>0</v>
      </c>
      <c r="FT48" s="201">
        <f t="shared" si="269"/>
        <v>0</v>
      </c>
      <c r="FU48" s="203">
        <f t="shared" si="343"/>
        <v>0</v>
      </c>
      <c r="FV48" s="199">
        <f t="shared" ca="1" si="270"/>
        <v>0</v>
      </c>
      <c r="FW48" s="200">
        <f t="shared" si="271"/>
        <v>0</v>
      </c>
      <c r="FX48" s="201">
        <f t="shared" ca="1" si="272"/>
        <v>0</v>
      </c>
      <c r="FY48" s="200">
        <f t="shared" si="273"/>
        <v>0</v>
      </c>
      <c r="FZ48" s="201" cm="1">
        <f t="array" ref="FZ48">IF(LEFT($AG48,3)="Res",IF(OR($DT48&gt;External_Threshold,$DJ48&gt;0),1*Uplift*AWE*(External),0),0)</f>
        <v>0</v>
      </c>
      <c r="GA48" s="200">
        <f t="shared" si="274"/>
        <v>0</v>
      </c>
      <c r="GB48" s="201">
        <f t="shared" si="275"/>
        <v>0</v>
      </c>
      <c r="GC48" s="203">
        <f t="shared" si="344"/>
        <v>0</v>
      </c>
      <c r="GD48" s="199">
        <f t="shared" ca="1" si="276"/>
        <v>0</v>
      </c>
      <c r="GE48" s="200">
        <f t="shared" si="277"/>
        <v>0</v>
      </c>
      <c r="GF48" s="201">
        <f t="shared" ca="1" si="278"/>
        <v>0</v>
      </c>
      <c r="GG48" s="200">
        <f t="shared" si="279"/>
        <v>0</v>
      </c>
      <c r="GH48" s="201" cm="1">
        <f t="array" ref="GH48">IF(LEFT($AG48,3)="Res",IF(OR($DU48&gt;External_Threshold,$DK48&gt;0),1*Uplift*AWE*(External),0),0)</f>
        <v>0</v>
      </c>
      <c r="GI48" s="200">
        <f t="shared" si="280"/>
        <v>0</v>
      </c>
      <c r="GJ48" s="201">
        <f t="shared" si="281"/>
        <v>0</v>
      </c>
      <c r="GK48" s="203">
        <f t="shared" si="345"/>
        <v>0</v>
      </c>
      <c r="GL48" s="199">
        <f t="shared" ca="1" si="282"/>
        <v>0</v>
      </c>
      <c r="GM48" s="200">
        <f t="shared" si="283"/>
        <v>0</v>
      </c>
      <c r="GN48" s="201">
        <f t="shared" ca="1" si="284"/>
        <v>0</v>
      </c>
      <c r="GO48" s="200">
        <f t="shared" si="285"/>
        <v>0</v>
      </c>
      <c r="GP48" s="201" cm="1">
        <f t="array" ref="GP48">IF(LEFT($AG48,3)="Res",IF(OR($DV48&gt;External_Threshold,$DL48&gt;0),1*Uplift*AWE*(External),0),0)</f>
        <v>0</v>
      </c>
      <c r="GQ48" s="200">
        <f t="shared" si="286"/>
        <v>0</v>
      </c>
      <c r="GR48" s="201">
        <f t="shared" si="287"/>
        <v>0</v>
      </c>
      <c r="GS48" s="203">
        <f t="shared" si="346"/>
        <v>0</v>
      </c>
      <c r="GT48" s="199">
        <f t="shared" ca="1" si="288"/>
        <v>0</v>
      </c>
      <c r="GU48" s="200">
        <f t="shared" si="289"/>
        <v>0</v>
      </c>
      <c r="GV48" s="201">
        <f t="shared" ca="1" si="290"/>
        <v>0</v>
      </c>
      <c r="GW48" s="200">
        <f t="shared" si="291"/>
        <v>0</v>
      </c>
      <c r="GX48" s="201" cm="1">
        <f t="array" ref="GX48">IF(LEFT($AG48,3)="Res",IF(OR($DW48&gt;External_Threshold,$DM48&gt;0),1*Uplift*AWE*(External),0),0)</f>
        <v>0</v>
      </c>
      <c r="GY48" s="200">
        <f t="shared" si="292"/>
        <v>0</v>
      </c>
      <c r="GZ48" s="201">
        <f t="shared" si="293"/>
        <v>0</v>
      </c>
      <c r="HA48" s="203">
        <f t="shared" si="347"/>
        <v>0</v>
      </c>
      <c r="HB48" s="54"/>
      <c r="HC48" s="54"/>
      <c r="HD48" s="54"/>
      <c r="HE48" s="54"/>
      <c r="HF48" s="54"/>
      <c r="HG48" s="201">
        <f t="shared" ca="1" si="348"/>
        <v>52419.691023104126</v>
      </c>
      <c r="HH48" s="201">
        <f t="shared" ca="1" si="349"/>
        <v>0</v>
      </c>
      <c r="HI48" s="201">
        <f t="shared" ca="1" si="350"/>
        <v>0</v>
      </c>
      <c r="HJ48" s="201">
        <f t="shared" ca="1" si="351"/>
        <v>0</v>
      </c>
      <c r="HK48" s="201">
        <f t="shared" ca="1" si="352"/>
        <v>0</v>
      </c>
      <c r="HL48" s="201">
        <f t="shared" ca="1" si="353"/>
        <v>0</v>
      </c>
      <c r="HM48" s="201">
        <f t="shared" ca="1" si="354"/>
        <v>0</v>
      </c>
      <c r="HN48" s="201">
        <f t="shared" ca="1" si="355"/>
        <v>0</v>
      </c>
      <c r="HO48" s="201">
        <f t="shared" ca="1" si="356"/>
        <v>0</v>
      </c>
      <c r="HP48" s="201">
        <f t="shared" ca="1" si="357"/>
        <v>0</v>
      </c>
      <c r="HQ48" s="54"/>
    </row>
    <row r="49" spans="1:225" x14ac:dyDescent="0.3">
      <c r="A49" s="513">
        <v>31</v>
      </c>
      <c r="B49" s="514" t="s">
        <v>454</v>
      </c>
      <c r="C49" s="514" t="s">
        <v>390</v>
      </c>
      <c r="D49" s="514" t="s">
        <v>390</v>
      </c>
      <c r="E49" s="513">
        <v>1</v>
      </c>
      <c r="F49" s="515">
        <v>6.88</v>
      </c>
      <c r="G49" s="515">
        <v>6.75</v>
      </c>
      <c r="H49" s="513">
        <v>2</v>
      </c>
      <c r="I49" s="517">
        <v>1</v>
      </c>
      <c r="J49" s="518" t="s">
        <v>295</v>
      </c>
      <c r="K49" s="513">
        <f t="shared" si="204"/>
        <v>220</v>
      </c>
      <c r="L49" s="519">
        <v>7.3</v>
      </c>
      <c r="M49" s="519">
        <v>6.5</v>
      </c>
      <c r="N49" s="519">
        <v>6.2</v>
      </c>
      <c r="O49" s="519">
        <v>5.9</v>
      </c>
      <c r="P49" s="519">
        <v>5.45</v>
      </c>
      <c r="Q49" s="519">
        <v>4.97</v>
      </c>
      <c r="R49" s="519">
        <v>4.17</v>
      </c>
      <c r="S49" s="519">
        <v>0</v>
      </c>
      <c r="T49" s="519">
        <v>0</v>
      </c>
      <c r="U49" s="519">
        <v>0</v>
      </c>
      <c r="V49" s="536"/>
      <c r="W49" s="536"/>
      <c r="X49" s="536"/>
      <c r="Y49" s="536"/>
      <c r="Z49" s="536"/>
      <c r="AA49" s="536"/>
      <c r="AB49" s="536"/>
      <c r="AC49" s="536"/>
      <c r="AD49" s="536"/>
      <c r="AE49" s="536"/>
      <c r="AF49" s="54"/>
      <c r="AG49" s="204" t="str">
        <f t="shared" si="465"/>
        <v>Res1</v>
      </c>
      <c r="AH49" s="204">
        <f t="shared" si="294"/>
        <v>6</v>
      </c>
      <c r="AI49" s="204">
        <f t="shared" si="205"/>
        <v>1</v>
      </c>
      <c r="AJ49" s="54"/>
      <c r="AK49" s="74">
        <f>IFERROR(IF(H49&gt;4,0,AI49*Inputs!$C$55),0)</f>
        <v>2.6</v>
      </c>
      <c r="AL49" s="81">
        <f>IFERROR(Inputs!$C$73,0)</f>
        <v>5</v>
      </c>
      <c r="AM49" s="211">
        <f>IFERROR(Inputs!$C$74,0)</f>
        <v>0.24299999999999999</v>
      </c>
      <c r="AN49" s="446">
        <f>IFERROR(HLOOKUP(HLOOKUP(AN$17,$V$18:$AE49,COUNTA($AK$18:$AK49),FALSE),Inputs!$B$58:$H$59,2,FALSE),0)</f>
        <v>0</v>
      </c>
      <c r="AO49" s="447">
        <f t="shared" si="295"/>
        <v>0</v>
      </c>
      <c r="AP49" s="447">
        <f t="shared" si="296"/>
        <v>0</v>
      </c>
      <c r="AQ49" s="446">
        <f>IFERROR(HLOOKUP(HLOOKUP(AQ$17,$V$18:$AE49,COUNTA($AK$18:$AK49),FALSE),Inputs!$B$58:$H$59,2,FALSE),0)</f>
        <v>0</v>
      </c>
      <c r="AR49" s="447">
        <f t="shared" ref="AR49" si="706">2*$AK49*AQ49*$AL49/100*$AM49</f>
        <v>0</v>
      </c>
      <c r="AS49" s="447">
        <f t="shared" si="298"/>
        <v>0</v>
      </c>
      <c r="AT49" s="446">
        <f>IFERROR(HLOOKUP(HLOOKUP(AT$17,$V$18:$AE49,COUNTA($AK$18:$AK49),FALSE),Inputs!$B$58:$H$59,2,FALSE),0)</f>
        <v>0</v>
      </c>
      <c r="AU49" s="447">
        <f t="shared" ref="AU49" si="707">2*$AK49*AT49*$AL49/100*$AM49</f>
        <v>0</v>
      </c>
      <c r="AV49" s="447">
        <f t="shared" si="300"/>
        <v>0</v>
      </c>
      <c r="AW49" s="446">
        <f>IFERROR(HLOOKUP(HLOOKUP(AW$17,$V$18:$AE49,COUNTA($AK$18:$AK49),FALSE),Inputs!$B$58:$H$59,2,FALSE),0)</f>
        <v>0</v>
      </c>
      <c r="AX49" s="447">
        <f t="shared" ref="AX49" si="708">2*$AK49*AW49*$AL49/100*$AM49</f>
        <v>0</v>
      </c>
      <c r="AY49" s="447">
        <f t="shared" si="302"/>
        <v>0</v>
      </c>
      <c r="AZ49" s="446">
        <f>IFERROR(HLOOKUP(HLOOKUP(AZ$17,$V$18:$AE49,COUNTA($AK$18:$AK49),FALSE),Inputs!$B$58:$H$59,2,FALSE),0)</f>
        <v>0</v>
      </c>
      <c r="BA49" s="447">
        <f t="shared" ref="BA49" si="709">2*$AK49*AZ49*$AL49/100*$AM49</f>
        <v>0</v>
      </c>
      <c r="BB49" s="447">
        <f t="shared" si="304"/>
        <v>0</v>
      </c>
      <c r="BC49" s="446">
        <f>IFERROR(HLOOKUP(HLOOKUP(BC$17,$V$18:$AE49,COUNTA($AK$18:$AK49),FALSE),Inputs!$B$58:$H$59,2,FALSE),0)</f>
        <v>0</v>
      </c>
      <c r="BD49" s="447">
        <f t="shared" ref="BD49" si="710">2*$AK49*BC49*$AL49/100*$AM49</f>
        <v>0</v>
      </c>
      <c r="BE49" s="447">
        <f t="shared" si="306"/>
        <v>0</v>
      </c>
      <c r="BF49" s="446">
        <f>IFERROR(HLOOKUP(HLOOKUP(BF$17,$V$18:$AE49,COUNTA($AK$18:$AK49),FALSE),Inputs!$B$58:$H$59,2,FALSE),0)</f>
        <v>0</v>
      </c>
      <c r="BG49" s="447">
        <f t="shared" ref="BG49" si="711">2*$AK49*BF49*$AL49/100*$AM49</f>
        <v>0</v>
      </c>
      <c r="BH49" s="447">
        <f t="shared" si="308"/>
        <v>0</v>
      </c>
      <c r="BI49" s="446">
        <f>IFERROR(HLOOKUP(HLOOKUP(BI$17,$V$18:$AE49,COUNTA($AK$18:$AK49),FALSE),Inputs!$B$58:$H$59,2,FALSE),0)</f>
        <v>0</v>
      </c>
      <c r="BJ49" s="447">
        <f t="shared" ref="BJ49" si="712">2*$AK49*BI49*$AL49/100*$AM49</f>
        <v>0</v>
      </c>
      <c r="BK49" s="447">
        <f t="shared" si="310"/>
        <v>0</v>
      </c>
      <c r="BL49" s="446">
        <f>IFERROR(HLOOKUP(HLOOKUP(BL$17,$V$18:$AE49,COUNTA($AK$18:$AK49),FALSE),Inputs!$B$58:$H$59,2,FALSE),0)</f>
        <v>0</v>
      </c>
      <c r="BM49" s="447">
        <f t="shared" ref="BM49" si="713">2*$AK49*BL49*$AL49/100*$AM49</f>
        <v>0</v>
      </c>
      <c r="BN49" s="447">
        <f t="shared" si="312"/>
        <v>0</v>
      </c>
      <c r="BO49" s="446">
        <f>IFERROR(HLOOKUP(HLOOKUP(BO$17,$V$18:$AE49,COUNTA($AK$18:$AK49),FALSE),Inputs!$B$58:$H$59,2,FALSE),0)</f>
        <v>0</v>
      </c>
      <c r="BP49" s="447">
        <f t="shared" ref="BP49" si="714">2*$AK49*BO49*$AL49/100*$AM49</f>
        <v>0</v>
      </c>
      <c r="BQ49" s="447">
        <f t="shared" si="314"/>
        <v>0</v>
      </c>
      <c r="BR49" s="54"/>
      <c r="BS49" s="103">
        <f t="shared" ca="1" si="224"/>
        <v>108.44261649782923</v>
      </c>
      <c r="BT49" s="103">
        <f t="shared" ca="1" si="396"/>
        <v>70.105264263420551</v>
      </c>
      <c r="BU49" s="103">
        <f t="shared" si="397"/>
        <v>15.403780752532562</v>
      </c>
      <c r="BV49" s="103">
        <f t="shared" si="398"/>
        <v>0</v>
      </c>
      <c r="BW49" s="152">
        <f t="shared" ca="1" si="399"/>
        <v>193.95166151378234</v>
      </c>
      <c r="BX49" s="441"/>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188">
        <f t="shared" si="315"/>
        <v>0.41999999999999993</v>
      </c>
      <c r="DE49" s="188">
        <f t="shared" si="316"/>
        <v>-0.3</v>
      </c>
      <c r="DF49" s="188">
        <f t="shared" si="317"/>
        <v>-0.3</v>
      </c>
      <c r="DG49" s="188">
        <f t="shared" si="318"/>
        <v>-0.3</v>
      </c>
      <c r="DH49" s="188">
        <f t="shared" si="319"/>
        <v>-0.3</v>
      </c>
      <c r="DI49" s="188">
        <f t="shared" si="320"/>
        <v>-0.3</v>
      </c>
      <c r="DJ49" s="188">
        <f t="shared" si="321"/>
        <v>-0.3</v>
      </c>
      <c r="DK49" s="188">
        <f t="shared" si="322"/>
        <v>-0.3</v>
      </c>
      <c r="DL49" s="188">
        <f t="shared" si="323"/>
        <v>-0.3</v>
      </c>
      <c r="DM49" s="188">
        <f t="shared" si="324"/>
        <v>-0.3</v>
      </c>
      <c r="DN49" s="189">
        <f t="shared" si="325"/>
        <v>0.54999999999999982</v>
      </c>
      <c r="DO49" s="189">
        <f t="shared" si="326"/>
        <v>0</v>
      </c>
      <c r="DP49" s="189">
        <f t="shared" si="327"/>
        <v>0</v>
      </c>
      <c r="DQ49" s="189">
        <f t="shared" si="328"/>
        <v>0</v>
      </c>
      <c r="DR49" s="189">
        <f t="shared" si="329"/>
        <v>0</v>
      </c>
      <c r="DS49" s="189">
        <f t="shared" si="330"/>
        <v>0</v>
      </c>
      <c r="DT49" s="189">
        <f t="shared" si="331"/>
        <v>0</v>
      </c>
      <c r="DU49" s="189">
        <f t="shared" si="332"/>
        <v>0</v>
      </c>
      <c r="DV49" s="189">
        <f t="shared" si="333"/>
        <v>0</v>
      </c>
      <c r="DW49" s="189">
        <f t="shared" si="334"/>
        <v>0</v>
      </c>
      <c r="DX49" s="54"/>
      <c r="DY49" s="54"/>
      <c r="DZ49" s="199">
        <f t="shared" ca="1" si="237"/>
        <v>108987.5542691751</v>
      </c>
      <c r="EA49" s="200">
        <f t="shared" si="335"/>
        <v>1</v>
      </c>
      <c r="EB49" s="201">
        <f t="shared" ca="1" si="238"/>
        <v>70457.552023538243</v>
      </c>
      <c r="EC49" s="200">
        <f t="shared" si="336"/>
        <v>1</v>
      </c>
      <c r="ED49" s="201" cm="1">
        <f t="array" ref="ED49">IF(LEFT($AG49,3)="Res",IF(OR($DN49&gt;External_Threshold,$DD49&gt;0),1*Uplift*AWE*(External),0),0)</f>
        <v>15481.186685962373</v>
      </c>
      <c r="EE49" s="200">
        <f t="shared" si="337"/>
        <v>1</v>
      </c>
      <c r="EF49" s="201">
        <f t="shared" si="239"/>
        <v>0</v>
      </c>
      <c r="EG49" s="203">
        <f t="shared" si="338"/>
        <v>0</v>
      </c>
      <c r="EH49" s="199">
        <f t="shared" ca="1" si="240"/>
        <v>0</v>
      </c>
      <c r="EI49" s="200">
        <f t="shared" si="241"/>
        <v>0</v>
      </c>
      <c r="EJ49" s="201">
        <f t="shared" ca="1" si="242"/>
        <v>0</v>
      </c>
      <c r="EK49" s="200">
        <f t="shared" si="243"/>
        <v>0</v>
      </c>
      <c r="EL49" s="201" cm="1">
        <f t="array" ref="EL49">IF(LEFT($AG49,3)="Res",IF(OR($DO49&gt;External_Threshold,$DE49&gt;0),1*Uplift*AWE*(External),0),0)</f>
        <v>0</v>
      </c>
      <c r="EM49" s="200">
        <f t="shared" si="244"/>
        <v>0</v>
      </c>
      <c r="EN49" s="201">
        <f t="shared" si="245"/>
        <v>0</v>
      </c>
      <c r="EO49" s="203">
        <f t="shared" si="339"/>
        <v>0</v>
      </c>
      <c r="EP49" s="199">
        <f t="shared" ca="1" si="246"/>
        <v>0</v>
      </c>
      <c r="EQ49" s="200">
        <f t="shared" si="247"/>
        <v>0</v>
      </c>
      <c r="ER49" s="201">
        <f t="shared" ca="1" si="248"/>
        <v>0</v>
      </c>
      <c r="ES49" s="200">
        <f t="shared" si="249"/>
        <v>0</v>
      </c>
      <c r="ET49" s="201" cm="1">
        <f t="array" ref="ET49">IF(LEFT($AG49,3)="Res",IF(OR($DP49&gt;External_Threshold,$DF49&gt;0),1*Uplift*AWE*(External),0),0)</f>
        <v>0</v>
      </c>
      <c r="EU49" s="200">
        <f t="shared" si="250"/>
        <v>0</v>
      </c>
      <c r="EV49" s="201">
        <f t="shared" si="251"/>
        <v>0</v>
      </c>
      <c r="EW49" s="203">
        <f t="shared" si="340"/>
        <v>0</v>
      </c>
      <c r="EX49" s="199">
        <f t="shared" ca="1" si="252"/>
        <v>0</v>
      </c>
      <c r="EY49" s="200">
        <f t="shared" si="253"/>
        <v>0</v>
      </c>
      <c r="EZ49" s="201">
        <f t="shared" ca="1" si="254"/>
        <v>0</v>
      </c>
      <c r="FA49" s="200">
        <f t="shared" si="255"/>
        <v>0</v>
      </c>
      <c r="FB49" s="201" cm="1">
        <f t="array" ref="FB49">IF(LEFT($AG49,3)="Res",IF(OR($DQ49&gt;External_Threshold,$DG49&gt;0),1*Uplift*AWE*(External),0),0)</f>
        <v>0</v>
      </c>
      <c r="FC49" s="200">
        <f t="shared" si="256"/>
        <v>0</v>
      </c>
      <c r="FD49" s="201">
        <f t="shared" si="257"/>
        <v>0</v>
      </c>
      <c r="FE49" s="203">
        <f t="shared" si="341"/>
        <v>0</v>
      </c>
      <c r="FF49" s="199">
        <f t="shared" ca="1" si="258"/>
        <v>0</v>
      </c>
      <c r="FG49" s="200">
        <f t="shared" si="259"/>
        <v>0</v>
      </c>
      <c r="FH49" s="201">
        <f t="shared" ca="1" si="260"/>
        <v>0</v>
      </c>
      <c r="FI49" s="200">
        <f t="shared" si="261"/>
        <v>0</v>
      </c>
      <c r="FJ49" s="201" cm="1">
        <f t="array" ref="FJ49">IF(LEFT($AG49,3)="Res",IF(OR($DR49&gt;External_Threshold,$DH49&gt;0),1*Uplift*AWE*(External),0),0)</f>
        <v>0</v>
      </c>
      <c r="FK49" s="200">
        <f t="shared" si="262"/>
        <v>0</v>
      </c>
      <c r="FL49" s="201">
        <f t="shared" si="263"/>
        <v>0</v>
      </c>
      <c r="FM49" s="203">
        <f t="shared" si="342"/>
        <v>0</v>
      </c>
      <c r="FN49" s="199">
        <f t="shared" ca="1" si="264"/>
        <v>0</v>
      </c>
      <c r="FO49" s="200">
        <f t="shared" si="265"/>
        <v>0</v>
      </c>
      <c r="FP49" s="201">
        <f t="shared" ca="1" si="266"/>
        <v>0</v>
      </c>
      <c r="FQ49" s="200">
        <f t="shared" si="267"/>
        <v>0</v>
      </c>
      <c r="FR49" s="201" cm="1">
        <f t="array" ref="FR49">IF(LEFT($AG49,3)="Res",IF(OR($DS49&gt;External_Threshold,$DI49&gt;0),1*Uplift*AWE*(External),0),0)</f>
        <v>0</v>
      </c>
      <c r="FS49" s="200">
        <f t="shared" si="268"/>
        <v>0</v>
      </c>
      <c r="FT49" s="201">
        <f t="shared" si="269"/>
        <v>0</v>
      </c>
      <c r="FU49" s="203">
        <f t="shared" si="343"/>
        <v>0</v>
      </c>
      <c r="FV49" s="199">
        <f t="shared" ca="1" si="270"/>
        <v>0</v>
      </c>
      <c r="FW49" s="200">
        <f t="shared" si="271"/>
        <v>0</v>
      </c>
      <c r="FX49" s="201">
        <f t="shared" ca="1" si="272"/>
        <v>0</v>
      </c>
      <c r="FY49" s="200">
        <f t="shared" si="273"/>
        <v>0</v>
      </c>
      <c r="FZ49" s="201" cm="1">
        <f t="array" ref="FZ49">IF(LEFT($AG49,3)="Res",IF(OR($DT49&gt;External_Threshold,$DJ49&gt;0),1*Uplift*AWE*(External),0),0)</f>
        <v>0</v>
      </c>
      <c r="GA49" s="200">
        <f t="shared" si="274"/>
        <v>0</v>
      </c>
      <c r="GB49" s="201">
        <f t="shared" si="275"/>
        <v>0</v>
      </c>
      <c r="GC49" s="203">
        <f t="shared" si="344"/>
        <v>0</v>
      </c>
      <c r="GD49" s="199">
        <f t="shared" ca="1" si="276"/>
        <v>0</v>
      </c>
      <c r="GE49" s="200">
        <f t="shared" si="277"/>
        <v>0</v>
      </c>
      <c r="GF49" s="201">
        <f t="shared" ca="1" si="278"/>
        <v>0</v>
      </c>
      <c r="GG49" s="200">
        <f t="shared" si="279"/>
        <v>0</v>
      </c>
      <c r="GH49" s="201" cm="1">
        <f t="array" ref="GH49">IF(LEFT($AG49,3)="Res",IF(OR($DU49&gt;External_Threshold,$DK49&gt;0),1*Uplift*AWE*(External),0),0)</f>
        <v>0</v>
      </c>
      <c r="GI49" s="200">
        <f t="shared" si="280"/>
        <v>0</v>
      </c>
      <c r="GJ49" s="201">
        <f t="shared" si="281"/>
        <v>0</v>
      </c>
      <c r="GK49" s="203">
        <f t="shared" si="345"/>
        <v>0</v>
      </c>
      <c r="GL49" s="199">
        <f t="shared" ca="1" si="282"/>
        <v>0</v>
      </c>
      <c r="GM49" s="200">
        <f t="shared" si="283"/>
        <v>0</v>
      </c>
      <c r="GN49" s="201">
        <f t="shared" ca="1" si="284"/>
        <v>0</v>
      </c>
      <c r="GO49" s="200">
        <f t="shared" si="285"/>
        <v>0</v>
      </c>
      <c r="GP49" s="201" cm="1">
        <f t="array" ref="GP49">IF(LEFT($AG49,3)="Res",IF(OR($DV49&gt;External_Threshold,$DL49&gt;0),1*Uplift*AWE*(External),0),0)</f>
        <v>0</v>
      </c>
      <c r="GQ49" s="200">
        <f t="shared" si="286"/>
        <v>0</v>
      </c>
      <c r="GR49" s="201">
        <f t="shared" si="287"/>
        <v>0</v>
      </c>
      <c r="GS49" s="203">
        <f t="shared" si="346"/>
        <v>0</v>
      </c>
      <c r="GT49" s="199">
        <f t="shared" ca="1" si="288"/>
        <v>0</v>
      </c>
      <c r="GU49" s="200">
        <f t="shared" si="289"/>
        <v>0</v>
      </c>
      <c r="GV49" s="201">
        <f t="shared" ca="1" si="290"/>
        <v>0</v>
      </c>
      <c r="GW49" s="200">
        <f t="shared" si="291"/>
        <v>0</v>
      </c>
      <c r="GX49" s="201" cm="1">
        <f t="array" ref="GX49">IF(LEFT($AG49,3)="Res",IF(OR($DW49&gt;External_Threshold,$DM49&gt;0),1*Uplift*AWE*(External),0),0)</f>
        <v>0</v>
      </c>
      <c r="GY49" s="200">
        <f t="shared" si="292"/>
        <v>0</v>
      </c>
      <c r="GZ49" s="201">
        <f t="shared" si="293"/>
        <v>0</v>
      </c>
      <c r="HA49" s="203">
        <f t="shared" si="347"/>
        <v>0</v>
      </c>
      <c r="HB49" s="54"/>
      <c r="HC49" s="54"/>
      <c r="HD49" s="54"/>
      <c r="HE49" s="54"/>
      <c r="HF49" s="54"/>
      <c r="HG49" s="201">
        <f t="shared" ca="1" si="348"/>
        <v>194926.29297867572</v>
      </c>
      <c r="HH49" s="201">
        <f t="shared" ca="1" si="349"/>
        <v>0</v>
      </c>
      <c r="HI49" s="201">
        <f t="shared" ca="1" si="350"/>
        <v>0</v>
      </c>
      <c r="HJ49" s="201">
        <f t="shared" ca="1" si="351"/>
        <v>0</v>
      </c>
      <c r="HK49" s="201">
        <f t="shared" ca="1" si="352"/>
        <v>0</v>
      </c>
      <c r="HL49" s="201">
        <f t="shared" ca="1" si="353"/>
        <v>0</v>
      </c>
      <c r="HM49" s="201">
        <f t="shared" ca="1" si="354"/>
        <v>0</v>
      </c>
      <c r="HN49" s="201">
        <f t="shared" ca="1" si="355"/>
        <v>0</v>
      </c>
      <c r="HO49" s="201">
        <f t="shared" ca="1" si="356"/>
        <v>0</v>
      </c>
      <c r="HP49" s="201">
        <f t="shared" ca="1" si="357"/>
        <v>0</v>
      </c>
      <c r="HQ49" s="54"/>
    </row>
    <row r="50" spans="1:225" x14ac:dyDescent="0.3">
      <c r="A50" s="513">
        <v>32</v>
      </c>
      <c r="B50" s="514" t="s">
        <v>455</v>
      </c>
      <c r="C50" s="514" t="s">
        <v>390</v>
      </c>
      <c r="D50" s="514" t="s">
        <v>390</v>
      </c>
      <c r="E50" s="513">
        <v>2</v>
      </c>
      <c r="F50" s="515">
        <v>6.39</v>
      </c>
      <c r="G50" s="515">
        <v>6.26</v>
      </c>
      <c r="H50" s="513">
        <v>1</v>
      </c>
      <c r="I50" s="517">
        <v>2</v>
      </c>
      <c r="J50" s="518" t="s">
        <v>256</v>
      </c>
      <c r="K50" s="513">
        <f t="shared" si="204"/>
        <v>100</v>
      </c>
      <c r="L50" s="519">
        <v>7.3</v>
      </c>
      <c r="M50" s="519">
        <v>6.5</v>
      </c>
      <c r="N50" s="519">
        <v>6.2</v>
      </c>
      <c r="O50" s="519">
        <v>5.9</v>
      </c>
      <c r="P50" s="519">
        <v>5.45</v>
      </c>
      <c r="Q50" s="519">
        <v>4.97</v>
      </c>
      <c r="R50" s="519">
        <v>4.17</v>
      </c>
      <c r="S50" s="519">
        <v>0</v>
      </c>
      <c r="T50" s="519">
        <v>0</v>
      </c>
      <c r="U50" s="519">
        <v>0</v>
      </c>
      <c r="V50" s="536"/>
      <c r="W50" s="536"/>
      <c r="X50" s="536"/>
      <c r="Y50" s="536"/>
      <c r="Z50" s="536"/>
      <c r="AA50" s="536"/>
      <c r="AB50" s="536"/>
      <c r="AC50" s="536"/>
      <c r="AD50" s="536"/>
      <c r="AE50" s="536"/>
      <c r="AF50" s="54"/>
      <c r="AG50" s="204" t="str">
        <f t="shared" si="465"/>
        <v>Res2</v>
      </c>
      <c r="AH50" s="204">
        <f t="shared" si="294"/>
        <v>7</v>
      </c>
      <c r="AI50" s="204">
        <f t="shared" si="205"/>
        <v>1</v>
      </c>
      <c r="AJ50" s="54"/>
      <c r="AK50" s="74">
        <f>IFERROR(IF(H50&gt;4,0,AI50*Inputs!$C$55),0)</f>
        <v>2.6</v>
      </c>
      <c r="AL50" s="81">
        <f>IFERROR(Inputs!$C$73,0)</f>
        <v>5</v>
      </c>
      <c r="AM50" s="211">
        <f>IFERROR(Inputs!$C$74,0)</f>
        <v>0.24299999999999999</v>
      </c>
      <c r="AN50" s="446">
        <f>IFERROR(HLOOKUP(HLOOKUP(AN$17,$V$18:$AE50,COUNTA($AK$18:$AK50),FALSE),Inputs!$B$58:$H$59,2,FALSE),0)</f>
        <v>0</v>
      </c>
      <c r="AO50" s="447">
        <f t="shared" si="295"/>
        <v>0</v>
      </c>
      <c r="AP50" s="447">
        <f t="shared" si="296"/>
        <v>0</v>
      </c>
      <c r="AQ50" s="446">
        <f>IFERROR(HLOOKUP(HLOOKUP(AQ$17,$V$18:$AE50,COUNTA($AK$18:$AK50),FALSE),Inputs!$B$58:$H$59,2,FALSE),0)</f>
        <v>0</v>
      </c>
      <c r="AR50" s="447">
        <f t="shared" ref="AR50" si="715">2*$AK50*AQ50*$AL50/100*$AM50</f>
        <v>0</v>
      </c>
      <c r="AS50" s="447">
        <f t="shared" si="298"/>
        <v>0</v>
      </c>
      <c r="AT50" s="446">
        <f>IFERROR(HLOOKUP(HLOOKUP(AT$17,$V$18:$AE50,COUNTA($AK$18:$AK50),FALSE),Inputs!$B$58:$H$59,2,FALSE),0)</f>
        <v>0</v>
      </c>
      <c r="AU50" s="447">
        <f t="shared" ref="AU50" si="716">2*$AK50*AT50*$AL50/100*$AM50</f>
        <v>0</v>
      </c>
      <c r="AV50" s="447">
        <f t="shared" si="300"/>
        <v>0</v>
      </c>
      <c r="AW50" s="446">
        <f>IFERROR(HLOOKUP(HLOOKUP(AW$17,$V$18:$AE50,COUNTA($AK$18:$AK50),FALSE),Inputs!$B$58:$H$59,2,FALSE),0)</f>
        <v>0</v>
      </c>
      <c r="AX50" s="447">
        <f t="shared" ref="AX50" si="717">2*$AK50*AW50*$AL50/100*$AM50</f>
        <v>0</v>
      </c>
      <c r="AY50" s="447">
        <f t="shared" si="302"/>
        <v>0</v>
      </c>
      <c r="AZ50" s="446">
        <f>IFERROR(HLOOKUP(HLOOKUP(AZ$17,$V$18:$AE50,COUNTA($AK$18:$AK50),FALSE),Inputs!$B$58:$H$59,2,FALSE),0)</f>
        <v>0</v>
      </c>
      <c r="BA50" s="447">
        <f t="shared" ref="BA50" si="718">2*$AK50*AZ50*$AL50/100*$AM50</f>
        <v>0</v>
      </c>
      <c r="BB50" s="447">
        <f t="shared" si="304"/>
        <v>0</v>
      </c>
      <c r="BC50" s="446">
        <f>IFERROR(HLOOKUP(HLOOKUP(BC$17,$V$18:$AE50,COUNTA($AK$18:$AK50),FALSE),Inputs!$B$58:$H$59,2,FALSE),0)</f>
        <v>0</v>
      </c>
      <c r="BD50" s="447">
        <f t="shared" ref="BD50" si="719">2*$AK50*BC50*$AL50/100*$AM50</f>
        <v>0</v>
      </c>
      <c r="BE50" s="447">
        <f t="shared" si="306"/>
        <v>0</v>
      </c>
      <c r="BF50" s="446">
        <f>IFERROR(HLOOKUP(HLOOKUP(BF$17,$V$18:$AE50,COUNTA($AK$18:$AK50),FALSE),Inputs!$B$58:$H$59,2,FALSE),0)</f>
        <v>0</v>
      </c>
      <c r="BG50" s="447">
        <f t="shared" ref="BG50" si="720">2*$AK50*BF50*$AL50/100*$AM50</f>
        <v>0</v>
      </c>
      <c r="BH50" s="447">
        <f t="shared" si="308"/>
        <v>0</v>
      </c>
      <c r="BI50" s="446">
        <f>IFERROR(HLOOKUP(HLOOKUP(BI$17,$V$18:$AE50,COUNTA($AK$18:$AK50),FALSE),Inputs!$B$58:$H$59,2,FALSE),0)</f>
        <v>0</v>
      </c>
      <c r="BJ50" s="447">
        <f t="shared" ref="BJ50" si="721">2*$AK50*BI50*$AL50/100*$AM50</f>
        <v>0</v>
      </c>
      <c r="BK50" s="447">
        <f t="shared" si="310"/>
        <v>0</v>
      </c>
      <c r="BL50" s="446">
        <f>IFERROR(HLOOKUP(HLOOKUP(BL$17,$V$18:$AE50,COUNTA($AK$18:$AK50),FALSE),Inputs!$B$58:$H$59,2,FALSE),0)</f>
        <v>0</v>
      </c>
      <c r="BM50" s="447">
        <f t="shared" ref="BM50" si="722">2*$AK50*BL50*$AL50/100*$AM50</f>
        <v>0</v>
      </c>
      <c r="BN50" s="447">
        <f t="shared" si="312"/>
        <v>0</v>
      </c>
      <c r="BO50" s="446">
        <f>IFERROR(HLOOKUP(HLOOKUP(BO$17,$V$18:$AE50,COUNTA($AK$18:$AK50),FALSE),Inputs!$B$58:$H$59,2,FALSE),0)</f>
        <v>0</v>
      </c>
      <c r="BP50" s="447">
        <f t="shared" ref="BP50" si="723">2*$AK50*BO50*$AL50/100*$AM50</f>
        <v>0</v>
      </c>
      <c r="BQ50" s="447">
        <f t="shared" si="314"/>
        <v>0</v>
      </c>
      <c r="BR50" s="54"/>
      <c r="BS50" s="103">
        <f t="shared" ca="1" si="224"/>
        <v>188.62409319253501</v>
      </c>
      <c r="BT50" s="103">
        <f t="shared" ca="1" si="396"/>
        <v>88.603893869522196</v>
      </c>
      <c r="BU50" s="103">
        <f t="shared" si="397"/>
        <v>54.02934153400868</v>
      </c>
      <c r="BV50" s="103">
        <f t="shared" si="398"/>
        <v>0</v>
      </c>
      <c r="BW50" s="152">
        <f t="shared" ca="1" si="399"/>
        <v>331.25732859606586</v>
      </c>
      <c r="BX50" s="441"/>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188">
        <f t="shared" si="315"/>
        <v>0.91000000000000014</v>
      </c>
      <c r="DE50" s="188">
        <f t="shared" si="316"/>
        <v>0.11000000000000032</v>
      </c>
      <c r="DF50" s="188">
        <f t="shared" si="317"/>
        <v>-0.1899999999999995</v>
      </c>
      <c r="DG50" s="188">
        <f t="shared" si="318"/>
        <v>-0.3</v>
      </c>
      <c r="DH50" s="188">
        <f t="shared" si="319"/>
        <v>-0.3</v>
      </c>
      <c r="DI50" s="188">
        <f t="shared" si="320"/>
        <v>-0.3</v>
      </c>
      <c r="DJ50" s="188">
        <f t="shared" si="321"/>
        <v>-0.3</v>
      </c>
      <c r="DK50" s="188">
        <f t="shared" si="322"/>
        <v>-0.3</v>
      </c>
      <c r="DL50" s="188">
        <f t="shared" si="323"/>
        <v>-0.3</v>
      </c>
      <c r="DM50" s="188">
        <f t="shared" si="324"/>
        <v>-0.3</v>
      </c>
      <c r="DN50" s="189">
        <f t="shared" si="325"/>
        <v>1.04</v>
      </c>
      <c r="DO50" s="189">
        <f t="shared" si="326"/>
        <v>0.24000000000000021</v>
      </c>
      <c r="DP50" s="189">
        <f t="shared" si="327"/>
        <v>0</v>
      </c>
      <c r="DQ50" s="189">
        <f t="shared" si="328"/>
        <v>0</v>
      </c>
      <c r="DR50" s="189">
        <f t="shared" si="329"/>
        <v>0</v>
      </c>
      <c r="DS50" s="189">
        <f t="shared" si="330"/>
        <v>0</v>
      </c>
      <c r="DT50" s="189">
        <f t="shared" si="331"/>
        <v>0</v>
      </c>
      <c r="DU50" s="189">
        <f t="shared" si="332"/>
        <v>0</v>
      </c>
      <c r="DV50" s="189">
        <f t="shared" si="333"/>
        <v>0</v>
      </c>
      <c r="DW50" s="189">
        <f t="shared" si="334"/>
        <v>0</v>
      </c>
      <c r="DX50" s="54"/>
      <c r="DY50" s="54"/>
      <c r="DZ50" s="199">
        <f t="shared" ca="1" si="237"/>
        <v>59068.983839845649</v>
      </c>
      <c r="EA50" s="200">
        <f t="shared" si="335"/>
        <v>1</v>
      </c>
      <c r="EB50" s="201">
        <f t="shared" ca="1" si="238"/>
        <v>51250.856275607475</v>
      </c>
      <c r="EC50" s="200">
        <f t="shared" si="336"/>
        <v>1</v>
      </c>
      <c r="ED50" s="201" cm="1">
        <f t="array" ref="ED50">IF(LEFT($AG50,3)="Res",IF(OR($DN50&gt;External_Threshold,$DD50&gt;0),1*Uplift*AWE*(External),0),0)</f>
        <v>15481.186685962373</v>
      </c>
      <c r="EE50" s="200">
        <f t="shared" si="337"/>
        <v>1</v>
      </c>
      <c r="EF50" s="201">
        <f t="shared" si="239"/>
        <v>0</v>
      </c>
      <c r="EG50" s="203">
        <f t="shared" si="338"/>
        <v>0</v>
      </c>
      <c r="EH50" s="199">
        <f t="shared" ca="1" si="240"/>
        <v>50025.476624055322</v>
      </c>
      <c r="EI50" s="200">
        <f t="shared" si="241"/>
        <v>1</v>
      </c>
      <c r="EJ50" s="201">
        <f t="shared" ca="1" si="242"/>
        <v>15073.864479075259</v>
      </c>
      <c r="EK50" s="200">
        <f t="shared" si="243"/>
        <v>1</v>
      </c>
      <c r="EL50" s="201" cm="1">
        <f t="array" ref="EL50">IF(LEFT($AG50,3)="Res",IF(OR($DO50&gt;External_Threshold,$DE50&gt;0),1*Uplift*AWE*(External),0),0)</f>
        <v>15481.186685962373</v>
      </c>
      <c r="EM50" s="200">
        <f t="shared" si="244"/>
        <v>1</v>
      </c>
      <c r="EN50" s="201">
        <f t="shared" si="245"/>
        <v>0</v>
      </c>
      <c r="EO50" s="203">
        <f t="shared" si="339"/>
        <v>0</v>
      </c>
      <c r="EP50" s="199">
        <f t="shared" ca="1" si="246"/>
        <v>1259.2225237176394</v>
      </c>
      <c r="EQ50" s="200">
        <f t="shared" si="247"/>
        <v>0</v>
      </c>
      <c r="ER50" s="201">
        <f t="shared" ca="1" si="248"/>
        <v>0</v>
      </c>
      <c r="ES50" s="200">
        <f t="shared" si="249"/>
        <v>0</v>
      </c>
      <c r="ET50" s="201" cm="1">
        <f t="array" ref="ET50">IF(LEFT($AG50,3)="Res",IF(OR($DP50&gt;External_Threshold,$DF50&gt;0),1*Uplift*AWE*(External),0),0)</f>
        <v>0</v>
      </c>
      <c r="EU50" s="200">
        <f t="shared" si="250"/>
        <v>0</v>
      </c>
      <c r="EV50" s="201">
        <f t="shared" si="251"/>
        <v>0</v>
      </c>
      <c r="EW50" s="203">
        <f t="shared" si="340"/>
        <v>0</v>
      </c>
      <c r="EX50" s="199">
        <f t="shared" ca="1" si="252"/>
        <v>0</v>
      </c>
      <c r="EY50" s="200">
        <f t="shared" si="253"/>
        <v>0</v>
      </c>
      <c r="EZ50" s="201">
        <f t="shared" ca="1" si="254"/>
        <v>0</v>
      </c>
      <c r="FA50" s="200">
        <f t="shared" si="255"/>
        <v>0</v>
      </c>
      <c r="FB50" s="201" cm="1">
        <f t="array" ref="FB50">IF(LEFT($AG50,3)="Res",IF(OR($DQ50&gt;External_Threshold,$DG50&gt;0),1*Uplift*AWE*(External),0),0)</f>
        <v>0</v>
      </c>
      <c r="FC50" s="200">
        <f t="shared" si="256"/>
        <v>0</v>
      </c>
      <c r="FD50" s="201">
        <f t="shared" si="257"/>
        <v>0</v>
      </c>
      <c r="FE50" s="203">
        <f t="shared" si="341"/>
        <v>0</v>
      </c>
      <c r="FF50" s="199">
        <f t="shared" ca="1" si="258"/>
        <v>0</v>
      </c>
      <c r="FG50" s="200">
        <f t="shared" si="259"/>
        <v>0</v>
      </c>
      <c r="FH50" s="201">
        <f t="shared" ca="1" si="260"/>
        <v>0</v>
      </c>
      <c r="FI50" s="200">
        <f t="shared" si="261"/>
        <v>0</v>
      </c>
      <c r="FJ50" s="201" cm="1">
        <f t="array" ref="FJ50">IF(LEFT($AG50,3)="Res",IF(OR($DR50&gt;External_Threshold,$DH50&gt;0),1*Uplift*AWE*(External),0),0)</f>
        <v>0</v>
      </c>
      <c r="FK50" s="200">
        <f t="shared" si="262"/>
        <v>0</v>
      </c>
      <c r="FL50" s="201">
        <f t="shared" si="263"/>
        <v>0</v>
      </c>
      <c r="FM50" s="203">
        <f t="shared" si="342"/>
        <v>0</v>
      </c>
      <c r="FN50" s="199">
        <f t="shared" ca="1" si="264"/>
        <v>0</v>
      </c>
      <c r="FO50" s="200">
        <f t="shared" si="265"/>
        <v>0</v>
      </c>
      <c r="FP50" s="201">
        <f t="shared" ca="1" si="266"/>
        <v>0</v>
      </c>
      <c r="FQ50" s="200">
        <f t="shared" si="267"/>
        <v>0</v>
      </c>
      <c r="FR50" s="201" cm="1">
        <f t="array" ref="FR50">IF(LEFT($AG50,3)="Res",IF(OR($DS50&gt;External_Threshold,$DI50&gt;0),1*Uplift*AWE*(External),0),0)</f>
        <v>0</v>
      </c>
      <c r="FS50" s="200">
        <f t="shared" si="268"/>
        <v>0</v>
      </c>
      <c r="FT50" s="201">
        <f t="shared" si="269"/>
        <v>0</v>
      </c>
      <c r="FU50" s="203">
        <f t="shared" si="343"/>
        <v>0</v>
      </c>
      <c r="FV50" s="199">
        <f t="shared" ca="1" si="270"/>
        <v>0</v>
      </c>
      <c r="FW50" s="200">
        <f t="shared" si="271"/>
        <v>0</v>
      </c>
      <c r="FX50" s="201">
        <f t="shared" ca="1" si="272"/>
        <v>0</v>
      </c>
      <c r="FY50" s="200">
        <f t="shared" si="273"/>
        <v>0</v>
      </c>
      <c r="FZ50" s="201" cm="1">
        <f t="array" ref="FZ50">IF(LEFT($AG50,3)="Res",IF(OR($DT50&gt;External_Threshold,$DJ50&gt;0),1*Uplift*AWE*(External),0),0)</f>
        <v>0</v>
      </c>
      <c r="GA50" s="200">
        <f t="shared" si="274"/>
        <v>0</v>
      </c>
      <c r="GB50" s="201">
        <f t="shared" si="275"/>
        <v>0</v>
      </c>
      <c r="GC50" s="203">
        <f t="shared" si="344"/>
        <v>0</v>
      </c>
      <c r="GD50" s="199">
        <f t="shared" ca="1" si="276"/>
        <v>0</v>
      </c>
      <c r="GE50" s="200">
        <f t="shared" si="277"/>
        <v>0</v>
      </c>
      <c r="GF50" s="201">
        <f t="shared" ca="1" si="278"/>
        <v>0</v>
      </c>
      <c r="GG50" s="200">
        <f t="shared" si="279"/>
        <v>0</v>
      </c>
      <c r="GH50" s="201" cm="1">
        <f t="array" ref="GH50">IF(LEFT($AG50,3)="Res",IF(OR($DU50&gt;External_Threshold,$DK50&gt;0),1*Uplift*AWE*(External),0),0)</f>
        <v>0</v>
      </c>
      <c r="GI50" s="200">
        <f t="shared" si="280"/>
        <v>0</v>
      </c>
      <c r="GJ50" s="201">
        <f t="shared" si="281"/>
        <v>0</v>
      </c>
      <c r="GK50" s="203">
        <f t="shared" si="345"/>
        <v>0</v>
      </c>
      <c r="GL50" s="199">
        <f t="shared" ca="1" si="282"/>
        <v>0</v>
      </c>
      <c r="GM50" s="200">
        <f t="shared" si="283"/>
        <v>0</v>
      </c>
      <c r="GN50" s="201">
        <f t="shared" ca="1" si="284"/>
        <v>0</v>
      </c>
      <c r="GO50" s="200">
        <f t="shared" si="285"/>
        <v>0</v>
      </c>
      <c r="GP50" s="201" cm="1">
        <f t="array" ref="GP50">IF(LEFT($AG50,3)="Res",IF(OR($DV50&gt;External_Threshold,$DL50&gt;0),1*Uplift*AWE*(External),0),0)</f>
        <v>0</v>
      </c>
      <c r="GQ50" s="200">
        <f t="shared" si="286"/>
        <v>0</v>
      </c>
      <c r="GR50" s="201">
        <f t="shared" si="287"/>
        <v>0</v>
      </c>
      <c r="GS50" s="203">
        <f t="shared" si="346"/>
        <v>0</v>
      </c>
      <c r="GT50" s="199">
        <f t="shared" ca="1" si="288"/>
        <v>0</v>
      </c>
      <c r="GU50" s="200">
        <f t="shared" si="289"/>
        <v>0</v>
      </c>
      <c r="GV50" s="201">
        <f t="shared" ca="1" si="290"/>
        <v>0</v>
      </c>
      <c r="GW50" s="200">
        <f t="shared" si="291"/>
        <v>0</v>
      </c>
      <c r="GX50" s="201" cm="1">
        <f t="array" ref="GX50">IF(LEFT($AG50,3)="Res",IF(OR($DW50&gt;External_Threshold,$DM50&gt;0),1*Uplift*AWE*(External),0),0)</f>
        <v>0</v>
      </c>
      <c r="GY50" s="200">
        <f t="shared" si="292"/>
        <v>0</v>
      </c>
      <c r="GZ50" s="201">
        <f t="shared" si="293"/>
        <v>0</v>
      </c>
      <c r="HA50" s="203">
        <f t="shared" si="347"/>
        <v>0</v>
      </c>
      <c r="HB50" s="54"/>
      <c r="HC50" s="54"/>
      <c r="HD50" s="54"/>
      <c r="HE50" s="54"/>
      <c r="HF50" s="54"/>
      <c r="HG50" s="201">
        <f t="shared" ca="1" si="348"/>
        <v>125801.02680141549</v>
      </c>
      <c r="HH50" s="201">
        <f t="shared" ca="1" si="349"/>
        <v>80580.527789092957</v>
      </c>
      <c r="HI50" s="201">
        <f t="shared" ca="1" si="350"/>
        <v>1259.2225237176394</v>
      </c>
      <c r="HJ50" s="201">
        <f t="shared" ca="1" si="351"/>
        <v>0</v>
      </c>
      <c r="HK50" s="201">
        <f t="shared" ca="1" si="352"/>
        <v>0</v>
      </c>
      <c r="HL50" s="201">
        <f t="shared" ca="1" si="353"/>
        <v>0</v>
      </c>
      <c r="HM50" s="201">
        <f t="shared" ca="1" si="354"/>
        <v>0</v>
      </c>
      <c r="HN50" s="201">
        <f t="shared" ca="1" si="355"/>
        <v>0</v>
      </c>
      <c r="HO50" s="201">
        <f t="shared" ca="1" si="356"/>
        <v>0</v>
      </c>
      <c r="HP50" s="201">
        <f t="shared" ca="1" si="357"/>
        <v>0</v>
      </c>
      <c r="HQ50" s="54"/>
    </row>
    <row r="51" spans="1:225" x14ac:dyDescent="0.3">
      <c r="A51" s="513">
        <v>33</v>
      </c>
      <c r="B51" s="514" t="s">
        <v>456</v>
      </c>
      <c r="C51" s="514" t="s">
        <v>390</v>
      </c>
      <c r="D51" s="514" t="s">
        <v>390</v>
      </c>
      <c r="E51" s="513">
        <v>2</v>
      </c>
      <c r="F51" s="515">
        <v>6.94</v>
      </c>
      <c r="G51" s="515">
        <v>5.8</v>
      </c>
      <c r="H51" s="513">
        <v>1</v>
      </c>
      <c r="I51" s="517">
        <v>3</v>
      </c>
      <c r="J51" s="518" t="s">
        <v>256</v>
      </c>
      <c r="K51" s="513">
        <f t="shared" ref="K51:K82" si="724">IF(H51=$B$12,$P$15,IF(H51=$B$13,$Q$15,_xlfn.XLOOKUP(J51,$K$14:$Q$14,$K$15:$Q$15,$O$15)))</f>
        <v>100</v>
      </c>
      <c r="L51" s="519">
        <v>7.3</v>
      </c>
      <c r="M51" s="519">
        <v>6.5</v>
      </c>
      <c r="N51" s="519">
        <v>6.2</v>
      </c>
      <c r="O51" s="519">
        <v>5.9</v>
      </c>
      <c r="P51" s="519">
        <v>5.45</v>
      </c>
      <c r="Q51" s="519">
        <v>4.97</v>
      </c>
      <c r="R51" s="519">
        <v>4.17</v>
      </c>
      <c r="S51" s="519">
        <v>0</v>
      </c>
      <c r="T51" s="519">
        <v>0</v>
      </c>
      <c r="U51" s="519">
        <v>0</v>
      </c>
      <c r="V51" s="536"/>
      <c r="W51" s="536"/>
      <c r="X51" s="536"/>
      <c r="Y51" s="536"/>
      <c r="Z51" s="536"/>
      <c r="AA51" s="536"/>
      <c r="AB51" s="536"/>
      <c r="AC51" s="536"/>
      <c r="AD51" s="536"/>
      <c r="AE51" s="536"/>
      <c r="AF51" s="54"/>
      <c r="AG51" s="204" t="str">
        <f t="shared" si="465"/>
        <v>Res2</v>
      </c>
      <c r="AH51" s="204">
        <f t="shared" si="294"/>
        <v>7</v>
      </c>
      <c r="AI51" s="204">
        <f t="shared" ref="AI51:AI82" si="725">IF(OR(H51=$B$12,H51=$B$13),I51,1)</f>
        <v>1</v>
      </c>
      <c r="AJ51" s="54"/>
      <c r="AK51" s="74">
        <f>IFERROR(IF(H51&gt;4,0,AI51*Inputs!$C$55),0)</f>
        <v>2.6</v>
      </c>
      <c r="AL51" s="81">
        <f>IFERROR(Inputs!$C$73,0)</f>
        <v>5</v>
      </c>
      <c r="AM51" s="211">
        <f>IFERROR(Inputs!$C$74,0)</f>
        <v>0.24299999999999999</v>
      </c>
      <c r="AN51" s="446">
        <f>IFERROR(HLOOKUP(HLOOKUP(AN$17,$V$18:$AE51,COUNTA($AK$18:$AK51),FALSE),Inputs!$B$58:$H$59,2,FALSE),0)</f>
        <v>0</v>
      </c>
      <c r="AO51" s="447">
        <f t="shared" si="295"/>
        <v>0</v>
      </c>
      <c r="AP51" s="447">
        <f t="shared" si="296"/>
        <v>0</v>
      </c>
      <c r="AQ51" s="446">
        <f>IFERROR(HLOOKUP(HLOOKUP(AQ$17,$V$18:$AE51,COUNTA($AK$18:$AK51),FALSE),Inputs!$B$58:$H$59,2,FALSE),0)</f>
        <v>0</v>
      </c>
      <c r="AR51" s="447">
        <f t="shared" ref="AR51" si="726">2*$AK51*AQ51*$AL51/100*$AM51</f>
        <v>0</v>
      </c>
      <c r="AS51" s="447">
        <f t="shared" si="298"/>
        <v>0</v>
      </c>
      <c r="AT51" s="446">
        <f>IFERROR(HLOOKUP(HLOOKUP(AT$17,$V$18:$AE51,COUNTA($AK$18:$AK51),FALSE),Inputs!$B$58:$H$59,2,FALSE),0)</f>
        <v>0</v>
      </c>
      <c r="AU51" s="447">
        <f t="shared" ref="AU51" si="727">2*$AK51*AT51*$AL51/100*$AM51</f>
        <v>0</v>
      </c>
      <c r="AV51" s="447">
        <f t="shared" si="300"/>
        <v>0</v>
      </c>
      <c r="AW51" s="446">
        <f>IFERROR(HLOOKUP(HLOOKUP(AW$17,$V$18:$AE51,COUNTA($AK$18:$AK51),FALSE),Inputs!$B$58:$H$59,2,FALSE),0)</f>
        <v>0</v>
      </c>
      <c r="AX51" s="447">
        <f t="shared" ref="AX51" si="728">2*$AK51*AW51*$AL51/100*$AM51</f>
        <v>0</v>
      </c>
      <c r="AY51" s="447">
        <f t="shared" si="302"/>
        <v>0</v>
      </c>
      <c r="AZ51" s="446">
        <f>IFERROR(HLOOKUP(HLOOKUP(AZ$17,$V$18:$AE51,COUNTA($AK$18:$AK51),FALSE),Inputs!$B$58:$H$59,2,FALSE),0)</f>
        <v>0</v>
      </c>
      <c r="BA51" s="447">
        <f t="shared" ref="BA51" si="729">2*$AK51*AZ51*$AL51/100*$AM51</f>
        <v>0</v>
      </c>
      <c r="BB51" s="447">
        <f t="shared" si="304"/>
        <v>0</v>
      </c>
      <c r="BC51" s="446">
        <f>IFERROR(HLOOKUP(HLOOKUP(BC$17,$V$18:$AE51,COUNTA($AK$18:$AK51),FALSE),Inputs!$B$58:$H$59,2,FALSE),0)</f>
        <v>0</v>
      </c>
      <c r="BD51" s="447">
        <f t="shared" ref="BD51" si="730">2*$AK51*BC51*$AL51/100*$AM51</f>
        <v>0</v>
      </c>
      <c r="BE51" s="447">
        <f t="shared" si="306"/>
        <v>0</v>
      </c>
      <c r="BF51" s="446">
        <f>IFERROR(HLOOKUP(HLOOKUP(BF$17,$V$18:$AE51,COUNTA($AK$18:$AK51),FALSE),Inputs!$B$58:$H$59,2,FALSE),0)</f>
        <v>0</v>
      </c>
      <c r="BG51" s="447">
        <f t="shared" ref="BG51" si="731">2*$AK51*BF51*$AL51/100*$AM51</f>
        <v>0</v>
      </c>
      <c r="BH51" s="447">
        <f t="shared" si="308"/>
        <v>0</v>
      </c>
      <c r="BI51" s="446">
        <f>IFERROR(HLOOKUP(HLOOKUP(BI$17,$V$18:$AE51,COUNTA($AK$18:$AK51),FALSE),Inputs!$B$58:$H$59,2,FALSE),0)</f>
        <v>0</v>
      </c>
      <c r="BJ51" s="447">
        <f t="shared" ref="BJ51" si="732">2*$AK51*BI51*$AL51/100*$AM51</f>
        <v>0</v>
      </c>
      <c r="BK51" s="447">
        <f t="shared" si="310"/>
        <v>0</v>
      </c>
      <c r="BL51" s="446">
        <f>IFERROR(HLOOKUP(HLOOKUP(BL$17,$V$18:$AE51,COUNTA($AK$18:$AK51),FALSE),Inputs!$B$58:$H$59,2,FALSE),0)</f>
        <v>0</v>
      </c>
      <c r="BM51" s="447">
        <f t="shared" ref="BM51" si="733">2*$AK51*BL51*$AL51/100*$AM51</f>
        <v>0</v>
      </c>
      <c r="BN51" s="447">
        <f t="shared" si="312"/>
        <v>0</v>
      </c>
      <c r="BO51" s="446">
        <f>IFERROR(HLOOKUP(HLOOKUP(BO$17,$V$18:$AE51,COUNTA($AK$18:$AK51),FALSE),Inputs!$B$58:$H$59,2,FALSE),0)</f>
        <v>0</v>
      </c>
      <c r="BP51" s="447">
        <f t="shared" ref="BP51" si="734">2*$AK51*BO51*$AL51/100*$AM51</f>
        <v>0</v>
      </c>
      <c r="BQ51" s="447">
        <f t="shared" si="314"/>
        <v>0</v>
      </c>
      <c r="BR51" s="54"/>
      <c r="BS51" s="103">
        <f t="shared" ref="BS51:BS86" ca="1" si="735">+($U$10-$T$10)*(($GT51)+($GL51))/2+($T$10-$S$10)*(($GL51)+($GD51))/2+($S$10-$R$10)*(($GD51)+($FV51))/2+($R$10-$Q$10)*(($FV51)+($FN51))/2+($Q$10-$P$10)*(($FN51)+($FF51))/2+($P$10-$O$10)*(($FF51)+($EX51))/2+($O$10-$N$10)*(($EX51)+($EP51))/2+($N$10-$M$10)*(($EP51)+($EH51))/2+($M$10-$L$10)*(($EH51)+($DZ51))/2</f>
        <v>54.673152484322245</v>
      </c>
      <c r="BT51" s="103">
        <f t="shared" ca="1" si="396"/>
        <v>32.806735470039634</v>
      </c>
      <c r="BU51" s="103">
        <f t="shared" si="397"/>
        <v>115.95408827785818</v>
      </c>
      <c r="BV51" s="103">
        <f t="shared" si="398"/>
        <v>0</v>
      </c>
      <c r="BW51" s="152">
        <f t="shared" ca="1" si="399"/>
        <v>203.43397623222006</v>
      </c>
      <c r="BX51" s="441"/>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188">
        <f t="shared" si="315"/>
        <v>0.35999999999999943</v>
      </c>
      <c r="DE51" s="188">
        <f t="shared" si="316"/>
        <v>-0.3</v>
      </c>
      <c r="DF51" s="188">
        <f t="shared" si="317"/>
        <v>-0.3</v>
      </c>
      <c r="DG51" s="188">
        <f t="shared" si="318"/>
        <v>-0.3</v>
      </c>
      <c r="DH51" s="188">
        <f t="shared" si="319"/>
        <v>-0.3</v>
      </c>
      <c r="DI51" s="188">
        <f t="shared" si="320"/>
        <v>-0.3</v>
      </c>
      <c r="DJ51" s="188">
        <f t="shared" si="321"/>
        <v>-0.3</v>
      </c>
      <c r="DK51" s="188">
        <f t="shared" si="322"/>
        <v>-0.3</v>
      </c>
      <c r="DL51" s="188">
        <f t="shared" si="323"/>
        <v>-0.3</v>
      </c>
      <c r="DM51" s="188">
        <f t="shared" si="324"/>
        <v>-0.3</v>
      </c>
      <c r="DN51" s="189">
        <f t="shared" si="325"/>
        <v>1.5</v>
      </c>
      <c r="DO51" s="189">
        <f t="shared" si="326"/>
        <v>0.70000000000000018</v>
      </c>
      <c r="DP51" s="189">
        <f t="shared" si="327"/>
        <v>0.40000000000000036</v>
      </c>
      <c r="DQ51" s="189">
        <f t="shared" si="328"/>
        <v>0.10000000000000053</v>
      </c>
      <c r="DR51" s="189">
        <f t="shared" si="329"/>
        <v>0</v>
      </c>
      <c r="DS51" s="189">
        <f t="shared" si="330"/>
        <v>0</v>
      </c>
      <c r="DT51" s="189">
        <f t="shared" si="331"/>
        <v>0</v>
      </c>
      <c r="DU51" s="189">
        <f t="shared" si="332"/>
        <v>0</v>
      </c>
      <c r="DV51" s="189">
        <f t="shared" si="333"/>
        <v>0</v>
      </c>
      <c r="DW51" s="189">
        <f t="shared" si="334"/>
        <v>0</v>
      </c>
      <c r="DX51" s="54"/>
      <c r="DY51" s="54"/>
      <c r="DZ51" s="199">
        <f t="shared" ref="DZ51:DZ82" ca="1" si="736">$AI51*Uplift*VLOOKUP(MIN(_xlfn.NUMBERVALUE(MROUND($DD51,SIGN($DD51)*0.05)),MAX(INDEX(INDIRECT($AG51&amp;LEFT(DZ$17)),,1))),INDIRECT($AG51&amp;LEFT(DZ$17)),$AH51,FALSE)*IF(LEFT($AG51,3)="Com",$K51,IF(OR($H51=$B$12,$H51=$B$13),1-Downscale,1))</f>
        <v>54947.891944042458</v>
      </c>
      <c r="EA51" s="200">
        <f t="shared" si="335"/>
        <v>1</v>
      </c>
      <c r="EB51" s="201">
        <f t="shared" ref="EB51:EB82" ca="1" si="737">$AI51*Uplift*VLOOKUP(MIN(_xlfn.NUMBERVALUE(MROUND($DD51,SIGN($DD51)*0.05)),MAX(INDEX(INDIRECT($AG51&amp;LEFT(EB$17)),,1))),INDIRECT($AG51&amp;LEFT(EB$17)),$AH51,FALSE)</f>
        <v>32971.593437225762</v>
      </c>
      <c r="EC51" s="200">
        <f t="shared" si="336"/>
        <v>1</v>
      </c>
      <c r="ED51" s="201" cm="1">
        <f t="array" ref="ED51">IF(LEFT($AG51,3)="Res",IF(OR($DN51&gt;External_Threshold,$DD51&gt;0),1*Uplift*AWE*(External),0),0)</f>
        <v>15481.186685962373</v>
      </c>
      <c r="EE51" s="200">
        <f t="shared" si="337"/>
        <v>1</v>
      </c>
      <c r="EF51" s="201">
        <f t="shared" ref="EF51:EF82" si="738">$AI51*Uplift*($AO51*Injury+$AP51*Fatality)*EA51</f>
        <v>0</v>
      </c>
      <c r="EG51" s="203">
        <f t="shared" si="338"/>
        <v>0</v>
      </c>
      <c r="EH51" s="199">
        <f t="shared" ref="EH51:EH82" ca="1" si="739">$AI51*Uplift*VLOOKUP(MIN(_xlfn.NUMBERVALUE(MROUND($DE51,SIGN($DE51)*0.05)),MAX(INDEX(INDIRECT($AG51&amp;LEFT(EH$17)),,1))),INDIRECT($AG51&amp;LEFT(EH$17)),$AH51,FALSE)*IF(LEFT($AG51,3)="Com",$K51,IF(OR($H51=$B$12,$H51=$B$13),1-Downscale,1))</f>
        <v>0</v>
      </c>
      <c r="EI51" s="200">
        <f t="shared" si="241"/>
        <v>0</v>
      </c>
      <c r="EJ51" s="201">
        <f t="shared" ref="EJ51:EJ82" ca="1" si="740">$AI51*Uplift*VLOOKUP(MIN(_xlfn.NUMBERVALUE(MROUND($DE51,SIGN($DE51)*0.05)),MAX(INDEX(INDIRECT($AG51&amp;LEFT(EJ$17)),,1))),INDIRECT($AG51&amp;LEFT(EJ$17)),$AH51,FALSE)</f>
        <v>0</v>
      </c>
      <c r="EK51" s="200">
        <f t="shared" si="243"/>
        <v>0</v>
      </c>
      <c r="EL51" s="201" cm="1">
        <f t="array" ref="EL51">IF(LEFT($AG51,3)="Res",IF(OR($DO51&gt;External_Threshold,$DE51&gt;0),1*Uplift*AWE*(External),0),0)</f>
        <v>15481.186685962373</v>
      </c>
      <c r="EM51" s="200">
        <f t="shared" si="244"/>
        <v>1</v>
      </c>
      <c r="EN51" s="201">
        <f t="shared" ref="EN51:EN82" si="741">$AI51*Uplift*($AR51*Injury+$AS51*Fatality)*EI51</f>
        <v>0</v>
      </c>
      <c r="EO51" s="203">
        <f t="shared" si="339"/>
        <v>0</v>
      </c>
      <c r="EP51" s="199">
        <f t="shared" ref="EP51:EP82" ca="1" si="742">$AI51*Uplift*VLOOKUP(MIN(_xlfn.NUMBERVALUE(MROUND($DF51,SIGN($DF51)*0.05)),MAX(INDEX(INDIRECT($AG51&amp;LEFT(EP$17)),,1))),INDIRECT($AG51&amp;LEFT(EP$17)),$AH51,FALSE)*IF(LEFT($AG51,3)="Com",$K51,IF(OR($H51=$B$12,$H51=$B$13),1-Downscale,1))</f>
        <v>0</v>
      </c>
      <c r="EQ51" s="200">
        <f t="shared" si="247"/>
        <v>0</v>
      </c>
      <c r="ER51" s="201">
        <f t="shared" ref="ER51:ER82" ca="1" si="743">$AI51*Uplift*VLOOKUP(MIN(_xlfn.NUMBERVALUE(MROUND($DF51,SIGN($DF51)*0.05)),MAX(INDEX(INDIRECT($AG51&amp;LEFT(ER$17)),,1))),INDIRECT($AG51&amp;LEFT(ER$17)),$AH51,FALSE)</f>
        <v>0</v>
      </c>
      <c r="ES51" s="200">
        <f t="shared" si="249"/>
        <v>0</v>
      </c>
      <c r="ET51" s="201" cm="1">
        <f t="array" ref="ET51">IF(LEFT($AG51,3)="Res",IF(OR($DP51&gt;External_Threshold,$DF51&gt;0),1*Uplift*AWE*(External),0),0)</f>
        <v>15481.186685962373</v>
      </c>
      <c r="EU51" s="200">
        <f t="shared" si="250"/>
        <v>1</v>
      </c>
      <c r="EV51" s="201">
        <f t="shared" ref="EV51:EV82" si="744">$AI51*Uplift*($AU51*Injury+$AV51*Fatality)*EQ51</f>
        <v>0</v>
      </c>
      <c r="EW51" s="203">
        <f t="shared" si="340"/>
        <v>0</v>
      </c>
      <c r="EX51" s="199">
        <f t="shared" ref="EX51:EX82" ca="1" si="745">$AI51*Uplift*VLOOKUP(MIN(_xlfn.NUMBERVALUE(MROUND($DG51,SIGN($DG51)*0.05)),MAX(INDEX(INDIRECT($AG51&amp;LEFT(EX$17)),,1))),INDIRECT($AG51&amp;LEFT(EX$17)),$AH51,FALSE)*IF(LEFT($AG51,3)="Com",$K51,IF(OR($H51=$B$12,$H51=$B$13),1-Downscale,1))</f>
        <v>0</v>
      </c>
      <c r="EY51" s="200">
        <f t="shared" si="253"/>
        <v>0</v>
      </c>
      <c r="EZ51" s="201">
        <f t="shared" ref="EZ51:EZ82" ca="1" si="746">$AI51*Uplift*VLOOKUP(MIN(_xlfn.NUMBERVALUE(MROUND($DG51,SIGN($DG51)*0.05)),MAX(INDEX(INDIRECT($AG51&amp;LEFT(EZ$17)),,1))),INDIRECT($AG51&amp;LEFT(EZ$17)),$AH51,FALSE)</f>
        <v>0</v>
      </c>
      <c r="FA51" s="200">
        <f t="shared" si="255"/>
        <v>0</v>
      </c>
      <c r="FB51" s="201" cm="1">
        <f t="array" ref="FB51">IF(LEFT($AG51,3)="Res",IF(OR($DQ51&gt;External_Threshold,$DG51&gt;0),1*Uplift*AWE*(External),0),0)</f>
        <v>0</v>
      </c>
      <c r="FC51" s="200">
        <f t="shared" si="256"/>
        <v>1</v>
      </c>
      <c r="FD51" s="201">
        <f t="shared" si="257"/>
        <v>0</v>
      </c>
      <c r="FE51" s="203">
        <f t="shared" si="341"/>
        <v>0</v>
      </c>
      <c r="FF51" s="199">
        <f t="shared" ref="FF51:FF82" ca="1" si="747">$AI51*Uplift*VLOOKUP(MIN(_xlfn.NUMBERVALUE(MROUND($DH51,SIGN($DH51)*0.05)),MAX(INDEX(INDIRECT($AG51&amp;LEFT(FF$17)),,1))),INDIRECT($AG51&amp;LEFT(FF$17)),$AH51,FALSE)*IF(LEFT($AG51,3)="Com",$K51,IF(OR($H51=$B$12,$H51=$B$13),1-Downscale,1))</f>
        <v>0</v>
      </c>
      <c r="FG51" s="200">
        <f t="shared" si="259"/>
        <v>0</v>
      </c>
      <c r="FH51" s="201">
        <f t="shared" ref="FH51:FH82" ca="1" si="748">$AI51*Uplift*VLOOKUP(MIN(_xlfn.NUMBERVALUE(MROUND($DH51,SIGN($DH51)*0.05)),MAX(INDEX(INDIRECT($AG51&amp;LEFT(FH$17)),,1))),INDIRECT($AG51&amp;LEFT(FH$17)),$AH51,FALSE)</f>
        <v>0</v>
      </c>
      <c r="FI51" s="200">
        <f t="shared" si="261"/>
        <v>0</v>
      </c>
      <c r="FJ51" s="201" cm="1">
        <f t="array" ref="FJ51">IF(LEFT($AG51,3)="Res",IF(OR($DR51&gt;External_Threshold,$DH51&gt;0),1*Uplift*AWE*(External),0),0)</f>
        <v>0</v>
      </c>
      <c r="FK51" s="200">
        <f t="shared" si="262"/>
        <v>0</v>
      </c>
      <c r="FL51" s="201">
        <f t="shared" ref="FL51:FL82" si="749">$AI51*Uplift*($BA51*Injury+$BB51*Fatality)*FG51</f>
        <v>0</v>
      </c>
      <c r="FM51" s="203">
        <f t="shared" si="342"/>
        <v>0</v>
      </c>
      <c r="FN51" s="199">
        <f t="shared" ref="FN51:FN82" ca="1" si="750">$AI51*Uplift*VLOOKUP(MIN(_xlfn.NUMBERVALUE(MROUND($DI51,SIGN($DI51)*0.05)),MAX(INDEX(INDIRECT($AG51&amp;LEFT(FN$17)),,1))),INDIRECT($AG51&amp;LEFT(FN$17)),$AH51,FALSE)*IF(LEFT($AG51,3)="Com",$K51,IF(OR($H51=$B$12,$H51=$B$13),1-Downscale,1))</f>
        <v>0</v>
      </c>
      <c r="FO51" s="200">
        <f t="shared" si="265"/>
        <v>0</v>
      </c>
      <c r="FP51" s="201">
        <f t="shared" ref="FP51:FP82" ca="1" si="751">$AI51*Uplift*VLOOKUP(MIN(_xlfn.NUMBERVALUE(MROUND($DI51,SIGN($DI51)*0.05)),MAX(INDEX(INDIRECT($AG51&amp;LEFT(FP$17)),,1))),INDIRECT($AG51&amp;LEFT(FP$17)),$AH51,FALSE)</f>
        <v>0</v>
      </c>
      <c r="FQ51" s="200">
        <f t="shared" si="267"/>
        <v>0</v>
      </c>
      <c r="FR51" s="201" cm="1">
        <f t="array" ref="FR51">IF(LEFT($AG51,3)="Res",IF(OR($DS51&gt;External_Threshold,$DI51&gt;0),1*Uplift*AWE*(External),0),0)</f>
        <v>0</v>
      </c>
      <c r="FS51" s="200">
        <f t="shared" si="268"/>
        <v>0</v>
      </c>
      <c r="FT51" s="201">
        <f t="shared" ref="FT51:FT82" si="752">$AI51*Uplift*($BD51*Injury+$BE51*Fatality)*FO51</f>
        <v>0</v>
      </c>
      <c r="FU51" s="203">
        <f t="shared" si="343"/>
        <v>0</v>
      </c>
      <c r="FV51" s="199">
        <f t="shared" ref="FV51:FV82" ca="1" si="753">$AI51*Uplift*VLOOKUP(MIN(_xlfn.NUMBERVALUE(MROUND($DJ51,SIGN($DJ51)*0.05)),MAX(INDEX(INDIRECT($AG51&amp;LEFT(FV$17)),,1))),INDIRECT($AG51&amp;LEFT(FV$17)),$AH51,FALSE)*IF(LEFT($AG51,3)="Com",$K51,IF(OR($H51=$B$12,$H51=$B$13),1-Downscale,1))</f>
        <v>0</v>
      </c>
      <c r="FW51" s="200">
        <f t="shared" si="271"/>
        <v>0</v>
      </c>
      <c r="FX51" s="201">
        <f t="shared" ref="FX51:FX82" ca="1" si="754">$AI51*Uplift*VLOOKUP(MIN(_xlfn.NUMBERVALUE(MROUND($DJ51,SIGN($DJ51)*0.05)),MAX(INDEX(INDIRECT($AG51&amp;LEFT(FX$17)),,1))),INDIRECT($AG51&amp;LEFT(FX$17)),$AH51,FALSE)</f>
        <v>0</v>
      </c>
      <c r="FY51" s="200">
        <f t="shared" si="273"/>
        <v>0</v>
      </c>
      <c r="FZ51" s="201" cm="1">
        <f t="array" ref="FZ51">IF(LEFT($AG51,3)="Res",IF(OR($DT51&gt;External_Threshold,$DJ51&gt;0),1*Uplift*AWE*(External),0),0)</f>
        <v>0</v>
      </c>
      <c r="GA51" s="200">
        <f t="shared" si="274"/>
        <v>0</v>
      </c>
      <c r="GB51" s="201">
        <f t="shared" ref="GB51:GB82" si="755">$AI51*Uplift*($BG51*Injury+$BH51*Fatality)*FW51</f>
        <v>0</v>
      </c>
      <c r="GC51" s="203">
        <f t="shared" si="344"/>
        <v>0</v>
      </c>
      <c r="GD51" s="199">
        <f t="shared" ref="GD51:GD82" ca="1" si="756">$AI51*Uplift*VLOOKUP(MIN(_xlfn.NUMBERVALUE(MROUND($DK51,SIGN($DK51)*0.05)),MAX(INDEX(INDIRECT($AG51&amp;LEFT(GD$17)),,1))),INDIRECT($AG51&amp;LEFT(GD$17)),$AH51,FALSE)*IF(LEFT($AG51,3)="Com",$K51,IF(OR($H51=$B$12,$H51=$B$13),1-Downscale,1))</f>
        <v>0</v>
      </c>
      <c r="GE51" s="200">
        <f t="shared" si="277"/>
        <v>0</v>
      </c>
      <c r="GF51" s="201">
        <f t="shared" ref="GF51:GF82" ca="1" si="757">$AI51*Uplift*VLOOKUP(MIN(_xlfn.NUMBERVALUE(MROUND($DK51,SIGN($DK51)*0.05)),MAX(INDEX(INDIRECT($AG51&amp;LEFT(GF$17)),,1))),INDIRECT($AG51&amp;LEFT(GF$17)),$AH51,FALSE)</f>
        <v>0</v>
      </c>
      <c r="GG51" s="200">
        <f t="shared" si="279"/>
        <v>0</v>
      </c>
      <c r="GH51" s="201" cm="1">
        <f t="array" ref="GH51">IF(LEFT($AG51,3)="Res",IF(OR($DU51&gt;External_Threshold,$DK51&gt;0),1*Uplift*AWE*(External),0),0)</f>
        <v>0</v>
      </c>
      <c r="GI51" s="200">
        <f t="shared" si="280"/>
        <v>0</v>
      </c>
      <c r="GJ51" s="201">
        <f t="shared" ref="GJ51:GJ82" si="758">$AI51*Uplift*($BJ51*Injury+$BK51*Fatality)*GE51</f>
        <v>0</v>
      </c>
      <c r="GK51" s="203">
        <f t="shared" si="345"/>
        <v>0</v>
      </c>
      <c r="GL51" s="199">
        <f t="shared" ref="GL51:GL82" ca="1" si="759">$AI51*Uplift*VLOOKUP(MIN(_xlfn.NUMBERVALUE(MROUND($DL51,SIGN($DL51)*0.05)),MAX(INDEX(INDIRECT($AG51&amp;LEFT(GL$17)),,1))),INDIRECT($AG51&amp;LEFT(GL$17)),$AH51,FALSE)*IF(LEFT($AG51,3)="Com",$K51,IF(OR($H51=$B$12,$H51=$B$13),1-Downscale,1))</f>
        <v>0</v>
      </c>
      <c r="GM51" s="200">
        <f t="shared" si="283"/>
        <v>0</v>
      </c>
      <c r="GN51" s="201">
        <f t="shared" ref="GN51:GN82" ca="1" si="760">$AI51*Uplift*VLOOKUP(MIN(_xlfn.NUMBERVALUE(MROUND($DL51,SIGN($DL51)*0.05)),MAX(INDEX(INDIRECT($AG51&amp;LEFT(GN$17)),,1))),INDIRECT($AG51&amp;LEFT(GN$17)),$AH51,FALSE)</f>
        <v>0</v>
      </c>
      <c r="GO51" s="200">
        <f t="shared" si="285"/>
        <v>0</v>
      </c>
      <c r="GP51" s="201" cm="1">
        <f t="array" ref="GP51">IF(LEFT($AG51,3)="Res",IF(OR($DV51&gt;External_Threshold,$DL51&gt;0),1*Uplift*AWE*(External),0),0)</f>
        <v>0</v>
      </c>
      <c r="GQ51" s="200">
        <f t="shared" si="286"/>
        <v>0</v>
      </c>
      <c r="GR51" s="201">
        <f t="shared" ref="GR51:GR82" si="761">$AI51*Uplift*($BM51*Injury+$BN51*Fatality)*GM51</f>
        <v>0</v>
      </c>
      <c r="GS51" s="203">
        <f t="shared" si="346"/>
        <v>0</v>
      </c>
      <c r="GT51" s="199">
        <f t="shared" ref="GT51:GT82" ca="1" si="762">$AI51*Uplift*VLOOKUP(MIN(_xlfn.NUMBERVALUE(MROUND($DM51,SIGN($DM51)*0.05)),MAX(INDEX(INDIRECT($AG51&amp;LEFT(GT$17)),,1))),INDIRECT($AG51&amp;LEFT(GT$17)),$AH51,FALSE)*IF(LEFT($AG51,3)="Com",$K51,IF(OR($H51=$B$12,$H51=$B$13),1-Downscale,1))</f>
        <v>0</v>
      </c>
      <c r="GU51" s="200">
        <f t="shared" si="289"/>
        <v>0</v>
      </c>
      <c r="GV51" s="201">
        <f t="shared" ref="GV51:GV82" ca="1" si="763">$AI51*Uplift*VLOOKUP(MIN(_xlfn.NUMBERVALUE(MROUND($DM51,SIGN($DM51)*0.05)),MAX(INDEX(INDIRECT($AG51&amp;LEFT(GV$17)),,1))),INDIRECT($AG51&amp;LEFT(GV$17)),$AH51,FALSE)</f>
        <v>0</v>
      </c>
      <c r="GW51" s="200">
        <f t="shared" si="291"/>
        <v>0</v>
      </c>
      <c r="GX51" s="201" cm="1">
        <f t="array" ref="GX51">IF(LEFT($AG51,3)="Res",IF(OR($DW51&gt;External_Threshold,$DM51&gt;0),1*Uplift*AWE*(External),0),0)</f>
        <v>0</v>
      </c>
      <c r="GY51" s="200">
        <f t="shared" si="292"/>
        <v>0</v>
      </c>
      <c r="GZ51" s="201">
        <f t="shared" ref="GZ51:GZ82" si="764">$AI51*Uplift*($BP51*Injury+$BQ51*Fatality)*GM51</f>
        <v>0</v>
      </c>
      <c r="HA51" s="203">
        <f t="shared" si="347"/>
        <v>0</v>
      </c>
      <c r="HB51" s="54"/>
      <c r="HC51" s="54"/>
      <c r="HD51" s="54"/>
      <c r="HE51" s="54"/>
      <c r="HF51" s="54"/>
      <c r="HG51" s="201">
        <f t="shared" ca="1" si="348"/>
        <v>103400.6720672306</v>
      </c>
      <c r="HH51" s="201">
        <f t="shared" ca="1" si="349"/>
        <v>15481.186685962373</v>
      </c>
      <c r="HI51" s="201">
        <f t="shared" ca="1" si="350"/>
        <v>15481.186685962373</v>
      </c>
      <c r="HJ51" s="201">
        <f t="shared" ca="1" si="351"/>
        <v>0</v>
      </c>
      <c r="HK51" s="201">
        <f t="shared" ca="1" si="352"/>
        <v>0</v>
      </c>
      <c r="HL51" s="201">
        <f t="shared" ca="1" si="353"/>
        <v>0</v>
      </c>
      <c r="HM51" s="201">
        <f t="shared" ca="1" si="354"/>
        <v>0</v>
      </c>
      <c r="HN51" s="201">
        <f t="shared" ca="1" si="355"/>
        <v>0</v>
      </c>
      <c r="HO51" s="201">
        <f t="shared" ca="1" si="356"/>
        <v>0</v>
      </c>
      <c r="HP51" s="201">
        <f t="shared" ca="1" si="357"/>
        <v>0</v>
      </c>
      <c r="HQ51" s="54"/>
    </row>
    <row r="52" spans="1:225" x14ac:dyDescent="0.3">
      <c r="A52" s="513">
        <v>34</v>
      </c>
      <c r="B52" s="514" t="s">
        <v>457</v>
      </c>
      <c r="C52" s="514" t="s">
        <v>390</v>
      </c>
      <c r="D52" s="514" t="s">
        <v>390</v>
      </c>
      <c r="E52" s="513">
        <v>2</v>
      </c>
      <c r="F52" s="515">
        <v>6.45</v>
      </c>
      <c r="G52" s="515">
        <v>5.95</v>
      </c>
      <c r="H52" s="513">
        <v>1</v>
      </c>
      <c r="I52" s="517">
        <v>4</v>
      </c>
      <c r="J52" s="518" t="s">
        <v>256</v>
      </c>
      <c r="K52" s="513">
        <f t="shared" si="724"/>
        <v>100</v>
      </c>
      <c r="L52" s="519">
        <v>7.3</v>
      </c>
      <c r="M52" s="519">
        <v>6.5</v>
      </c>
      <c r="N52" s="519">
        <v>6.2</v>
      </c>
      <c r="O52" s="519">
        <v>5.9</v>
      </c>
      <c r="P52" s="519">
        <v>5.45</v>
      </c>
      <c r="Q52" s="519">
        <v>4.97</v>
      </c>
      <c r="R52" s="519">
        <v>4.17</v>
      </c>
      <c r="S52" s="519">
        <v>0</v>
      </c>
      <c r="T52" s="519">
        <v>0</v>
      </c>
      <c r="U52" s="519">
        <v>0</v>
      </c>
      <c r="V52" s="536"/>
      <c r="W52" s="536"/>
      <c r="X52" s="536"/>
      <c r="Y52" s="536"/>
      <c r="Z52" s="536"/>
      <c r="AA52" s="536"/>
      <c r="AB52" s="536"/>
      <c r="AC52" s="536"/>
      <c r="AD52" s="536"/>
      <c r="AE52" s="536"/>
      <c r="AF52" s="54"/>
      <c r="AG52" s="204" t="str">
        <f t="shared" si="465"/>
        <v>Res2</v>
      </c>
      <c r="AH52" s="204">
        <f t="shared" si="294"/>
        <v>7</v>
      </c>
      <c r="AI52" s="204">
        <f t="shared" si="725"/>
        <v>1</v>
      </c>
      <c r="AJ52" s="54"/>
      <c r="AK52" s="74">
        <f>IFERROR(IF(H52&gt;4,0,AI52*Inputs!$C$55),0)</f>
        <v>2.6</v>
      </c>
      <c r="AL52" s="81">
        <f>IFERROR(Inputs!$C$73,0)</f>
        <v>5</v>
      </c>
      <c r="AM52" s="211">
        <f>IFERROR(Inputs!$C$74,0)</f>
        <v>0.24299999999999999</v>
      </c>
      <c r="AN52" s="446">
        <f>IFERROR(HLOOKUP(HLOOKUP(AN$17,$V$18:$AE52,COUNTA($AK$18:$AK52),FALSE),Inputs!$B$58:$H$59,2,FALSE),0)</f>
        <v>0</v>
      </c>
      <c r="AO52" s="447">
        <f t="shared" si="295"/>
        <v>0</v>
      </c>
      <c r="AP52" s="447">
        <f t="shared" si="296"/>
        <v>0</v>
      </c>
      <c r="AQ52" s="446">
        <f>IFERROR(HLOOKUP(HLOOKUP(AQ$17,$V$18:$AE52,COUNTA($AK$18:$AK52),FALSE),Inputs!$B$58:$H$59,2,FALSE),0)</f>
        <v>0</v>
      </c>
      <c r="AR52" s="447">
        <f t="shared" ref="AR52" si="765">2*$AK52*AQ52*$AL52/100*$AM52</f>
        <v>0</v>
      </c>
      <c r="AS52" s="447">
        <f t="shared" si="298"/>
        <v>0</v>
      </c>
      <c r="AT52" s="446">
        <f>IFERROR(HLOOKUP(HLOOKUP(AT$17,$V$18:$AE52,COUNTA($AK$18:$AK52),FALSE),Inputs!$B$58:$H$59,2,FALSE),0)</f>
        <v>0</v>
      </c>
      <c r="AU52" s="447">
        <f t="shared" ref="AU52" si="766">2*$AK52*AT52*$AL52/100*$AM52</f>
        <v>0</v>
      </c>
      <c r="AV52" s="447">
        <f t="shared" si="300"/>
        <v>0</v>
      </c>
      <c r="AW52" s="446">
        <f>IFERROR(HLOOKUP(HLOOKUP(AW$17,$V$18:$AE52,COUNTA($AK$18:$AK52),FALSE),Inputs!$B$58:$H$59,2,FALSE),0)</f>
        <v>0</v>
      </c>
      <c r="AX52" s="447">
        <f t="shared" ref="AX52" si="767">2*$AK52*AW52*$AL52/100*$AM52</f>
        <v>0</v>
      </c>
      <c r="AY52" s="447">
        <f t="shared" si="302"/>
        <v>0</v>
      </c>
      <c r="AZ52" s="446">
        <f>IFERROR(HLOOKUP(HLOOKUP(AZ$17,$V$18:$AE52,COUNTA($AK$18:$AK52),FALSE),Inputs!$B$58:$H$59,2,FALSE),0)</f>
        <v>0</v>
      </c>
      <c r="BA52" s="447">
        <f t="shared" ref="BA52" si="768">2*$AK52*AZ52*$AL52/100*$AM52</f>
        <v>0</v>
      </c>
      <c r="BB52" s="447">
        <f t="shared" si="304"/>
        <v>0</v>
      </c>
      <c r="BC52" s="446">
        <f>IFERROR(HLOOKUP(HLOOKUP(BC$17,$V$18:$AE52,COUNTA($AK$18:$AK52),FALSE),Inputs!$B$58:$H$59,2,FALSE),0)</f>
        <v>0</v>
      </c>
      <c r="BD52" s="447">
        <f t="shared" ref="BD52" si="769">2*$AK52*BC52*$AL52/100*$AM52</f>
        <v>0</v>
      </c>
      <c r="BE52" s="447">
        <f t="shared" si="306"/>
        <v>0</v>
      </c>
      <c r="BF52" s="446">
        <f>IFERROR(HLOOKUP(HLOOKUP(BF$17,$V$18:$AE52,COUNTA($AK$18:$AK52),FALSE),Inputs!$B$58:$H$59,2,FALSE),0)</f>
        <v>0</v>
      </c>
      <c r="BG52" s="447">
        <f t="shared" ref="BG52" si="770">2*$AK52*BF52*$AL52/100*$AM52</f>
        <v>0</v>
      </c>
      <c r="BH52" s="447">
        <f t="shared" si="308"/>
        <v>0</v>
      </c>
      <c r="BI52" s="446">
        <f>IFERROR(HLOOKUP(HLOOKUP(BI$17,$V$18:$AE52,COUNTA($AK$18:$AK52),FALSE),Inputs!$B$58:$H$59,2,FALSE),0)</f>
        <v>0</v>
      </c>
      <c r="BJ52" s="447">
        <f t="shared" ref="BJ52" si="771">2*$AK52*BI52*$AL52/100*$AM52</f>
        <v>0</v>
      </c>
      <c r="BK52" s="447">
        <f t="shared" si="310"/>
        <v>0</v>
      </c>
      <c r="BL52" s="446">
        <f>IFERROR(HLOOKUP(HLOOKUP(BL$17,$V$18:$AE52,COUNTA($AK$18:$AK52),FALSE),Inputs!$B$58:$H$59,2,FALSE),0)</f>
        <v>0</v>
      </c>
      <c r="BM52" s="447">
        <f t="shared" ref="BM52" si="772">2*$AK52*BL52*$AL52/100*$AM52</f>
        <v>0</v>
      </c>
      <c r="BN52" s="447">
        <f t="shared" si="312"/>
        <v>0</v>
      </c>
      <c r="BO52" s="446">
        <f>IFERROR(HLOOKUP(HLOOKUP(BO$17,$V$18:$AE52,COUNTA($AK$18:$AK52),FALSE),Inputs!$B$58:$H$59,2,FALSE),0)</f>
        <v>0</v>
      </c>
      <c r="BP52" s="447">
        <f t="shared" ref="BP52" si="773">2*$AK52*BO52*$AL52/100*$AM52</f>
        <v>0</v>
      </c>
      <c r="BQ52" s="447">
        <f t="shared" si="314"/>
        <v>0</v>
      </c>
      <c r="BR52" s="54"/>
      <c r="BS52" s="103">
        <f t="shared" ca="1" si="735"/>
        <v>127.89894554706345</v>
      </c>
      <c r="BT52" s="103">
        <f t="shared" ca="1" si="396"/>
        <v>73.788811037290827</v>
      </c>
      <c r="BU52" s="103">
        <f t="shared" si="397"/>
        <v>54.02934153400868</v>
      </c>
      <c r="BV52" s="103">
        <f t="shared" si="398"/>
        <v>0</v>
      </c>
      <c r="BW52" s="152">
        <f t="shared" ca="1" si="399"/>
        <v>255.71709811836297</v>
      </c>
      <c r="BX52" s="441"/>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188">
        <f t="shared" si="315"/>
        <v>0.84999999999999964</v>
      </c>
      <c r="DE52" s="188">
        <f t="shared" si="316"/>
        <v>4.9999999999999822E-2</v>
      </c>
      <c r="DF52" s="188">
        <f t="shared" si="317"/>
        <v>-0.25</v>
      </c>
      <c r="DG52" s="188">
        <f t="shared" si="318"/>
        <v>-0.3</v>
      </c>
      <c r="DH52" s="188">
        <f t="shared" si="319"/>
        <v>-0.3</v>
      </c>
      <c r="DI52" s="188">
        <f t="shared" si="320"/>
        <v>-0.3</v>
      </c>
      <c r="DJ52" s="188">
        <f t="shared" si="321"/>
        <v>-0.3</v>
      </c>
      <c r="DK52" s="188">
        <f t="shared" si="322"/>
        <v>-0.3</v>
      </c>
      <c r="DL52" s="188">
        <f t="shared" si="323"/>
        <v>-0.3</v>
      </c>
      <c r="DM52" s="188">
        <f t="shared" si="324"/>
        <v>-0.3</v>
      </c>
      <c r="DN52" s="189">
        <f t="shared" si="325"/>
        <v>1.3499999999999996</v>
      </c>
      <c r="DO52" s="189">
        <f t="shared" si="326"/>
        <v>0.54999999999999982</v>
      </c>
      <c r="DP52" s="189">
        <f t="shared" si="327"/>
        <v>0.25</v>
      </c>
      <c r="DQ52" s="189">
        <f t="shared" si="328"/>
        <v>0</v>
      </c>
      <c r="DR52" s="189">
        <f t="shared" si="329"/>
        <v>0</v>
      </c>
      <c r="DS52" s="189">
        <f t="shared" si="330"/>
        <v>0</v>
      </c>
      <c r="DT52" s="189">
        <f t="shared" si="331"/>
        <v>0</v>
      </c>
      <c r="DU52" s="189">
        <f t="shared" si="332"/>
        <v>0</v>
      </c>
      <c r="DV52" s="189">
        <f t="shared" si="333"/>
        <v>0</v>
      </c>
      <c r="DW52" s="189">
        <f t="shared" si="334"/>
        <v>0</v>
      </c>
      <c r="DX52" s="54"/>
      <c r="DY52" s="54"/>
      <c r="DZ52" s="199">
        <f t="shared" ca="1" si="736"/>
        <v>58553.847352870245</v>
      </c>
      <c r="EA52" s="200">
        <f t="shared" si="335"/>
        <v>1</v>
      </c>
      <c r="EB52" s="201">
        <f t="shared" ca="1" si="737"/>
        <v>48991.623215723062</v>
      </c>
      <c r="EC52" s="200">
        <f t="shared" si="336"/>
        <v>1</v>
      </c>
      <c r="ED52" s="201" cm="1">
        <f t="array" ref="ED52">IF(LEFT($AG52,3)="Res",IF(OR($DN52&gt;External_Threshold,$DD52&gt;0),1*Uplift*AWE*(External),0),0)</f>
        <v>15481.186685962373</v>
      </c>
      <c r="EE52" s="200">
        <f t="shared" si="337"/>
        <v>1</v>
      </c>
      <c r="EF52" s="201">
        <f t="shared" si="738"/>
        <v>0</v>
      </c>
      <c r="EG52" s="203">
        <f t="shared" si="338"/>
        <v>0</v>
      </c>
      <c r="EH52" s="199">
        <f t="shared" ca="1" si="739"/>
        <v>26901.572097604119</v>
      </c>
      <c r="EI52" s="200">
        <f t="shared" si="241"/>
        <v>1</v>
      </c>
      <c r="EJ52" s="201">
        <f t="shared" ca="1" si="740"/>
        <v>10036.932239537629</v>
      </c>
      <c r="EK52" s="200">
        <f t="shared" si="243"/>
        <v>1</v>
      </c>
      <c r="EL52" s="201" cm="1">
        <f t="array" ref="EL52">IF(LEFT($AG52,3)="Res",IF(OR($DO52&gt;External_Threshold,$DE52&gt;0),1*Uplift*AWE*(External),0),0)</f>
        <v>15481.186685962373</v>
      </c>
      <c r="EM52" s="200">
        <f t="shared" si="244"/>
        <v>1</v>
      </c>
      <c r="EN52" s="201">
        <f t="shared" si="741"/>
        <v>0</v>
      </c>
      <c r="EO52" s="203">
        <f t="shared" si="339"/>
        <v>0</v>
      </c>
      <c r="EP52" s="199">
        <f t="shared" ca="1" si="742"/>
        <v>629.61126185881972</v>
      </c>
      <c r="EQ52" s="200">
        <f t="shared" si="247"/>
        <v>0</v>
      </c>
      <c r="ER52" s="201">
        <f t="shared" ca="1" si="743"/>
        <v>0</v>
      </c>
      <c r="ES52" s="200">
        <f t="shared" si="249"/>
        <v>0</v>
      </c>
      <c r="ET52" s="201" cm="1">
        <f t="array" ref="ET52">IF(LEFT($AG52,3)="Res",IF(OR($DP52&gt;External_Threshold,$DF52&gt;0),1*Uplift*AWE*(External),0),0)</f>
        <v>0</v>
      </c>
      <c r="EU52" s="200">
        <f t="shared" si="250"/>
        <v>1</v>
      </c>
      <c r="EV52" s="201">
        <f t="shared" si="744"/>
        <v>0</v>
      </c>
      <c r="EW52" s="203">
        <f t="shared" si="340"/>
        <v>0</v>
      </c>
      <c r="EX52" s="199">
        <f t="shared" ca="1" si="745"/>
        <v>0</v>
      </c>
      <c r="EY52" s="200">
        <f t="shared" si="253"/>
        <v>0</v>
      </c>
      <c r="EZ52" s="201">
        <f t="shared" ca="1" si="746"/>
        <v>0</v>
      </c>
      <c r="FA52" s="200">
        <f t="shared" si="255"/>
        <v>0</v>
      </c>
      <c r="FB52" s="201" cm="1">
        <f t="array" ref="FB52">IF(LEFT($AG52,3)="Res",IF(OR($DQ52&gt;External_Threshold,$DG52&gt;0),1*Uplift*AWE*(External),0),0)</f>
        <v>0</v>
      </c>
      <c r="FC52" s="200">
        <f t="shared" si="256"/>
        <v>0</v>
      </c>
      <c r="FD52" s="201">
        <f t="shared" si="257"/>
        <v>0</v>
      </c>
      <c r="FE52" s="203">
        <f t="shared" si="341"/>
        <v>0</v>
      </c>
      <c r="FF52" s="199">
        <f t="shared" ca="1" si="747"/>
        <v>0</v>
      </c>
      <c r="FG52" s="200">
        <f t="shared" si="259"/>
        <v>0</v>
      </c>
      <c r="FH52" s="201">
        <f t="shared" ca="1" si="748"/>
        <v>0</v>
      </c>
      <c r="FI52" s="200">
        <f t="shared" si="261"/>
        <v>0</v>
      </c>
      <c r="FJ52" s="201" cm="1">
        <f t="array" ref="FJ52">IF(LEFT($AG52,3)="Res",IF(OR($DR52&gt;External_Threshold,$DH52&gt;0),1*Uplift*AWE*(External),0),0)</f>
        <v>0</v>
      </c>
      <c r="FK52" s="200">
        <f t="shared" si="262"/>
        <v>0</v>
      </c>
      <c r="FL52" s="201">
        <f t="shared" si="749"/>
        <v>0</v>
      </c>
      <c r="FM52" s="203">
        <f t="shared" si="342"/>
        <v>0</v>
      </c>
      <c r="FN52" s="199">
        <f t="shared" ca="1" si="750"/>
        <v>0</v>
      </c>
      <c r="FO52" s="200">
        <f t="shared" si="265"/>
        <v>0</v>
      </c>
      <c r="FP52" s="201">
        <f t="shared" ca="1" si="751"/>
        <v>0</v>
      </c>
      <c r="FQ52" s="200">
        <f t="shared" si="267"/>
        <v>0</v>
      </c>
      <c r="FR52" s="201" cm="1">
        <f t="array" ref="FR52">IF(LEFT($AG52,3)="Res",IF(OR($DS52&gt;External_Threshold,$DI52&gt;0),1*Uplift*AWE*(External),0),0)</f>
        <v>0</v>
      </c>
      <c r="FS52" s="200">
        <f t="shared" si="268"/>
        <v>0</v>
      </c>
      <c r="FT52" s="201">
        <f t="shared" si="752"/>
        <v>0</v>
      </c>
      <c r="FU52" s="203">
        <f t="shared" si="343"/>
        <v>0</v>
      </c>
      <c r="FV52" s="199">
        <f t="shared" ca="1" si="753"/>
        <v>0</v>
      </c>
      <c r="FW52" s="200">
        <f t="shared" si="271"/>
        <v>0</v>
      </c>
      <c r="FX52" s="201">
        <f t="shared" ca="1" si="754"/>
        <v>0</v>
      </c>
      <c r="FY52" s="200">
        <f t="shared" si="273"/>
        <v>0</v>
      </c>
      <c r="FZ52" s="201" cm="1">
        <f t="array" ref="FZ52">IF(LEFT($AG52,3)="Res",IF(OR($DT52&gt;External_Threshold,$DJ52&gt;0),1*Uplift*AWE*(External),0),0)</f>
        <v>0</v>
      </c>
      <c r="GA52" s="200">
        <f t="shared" si="274"/>
        <v>0</v>
      </c>
      <c r="GB52" s="201">
        <f t="shared" si="755"/>
        <v>0</v>
      </c>
      <c r="GC52" s="203">
        <f t="shared" si="344"/>
        <v>0</v>
      </c>
      <c r="GD52" s="199">
        <f t="shared" ca="1" si="756"/>
        <v>0</v>
      </c>
      <c r="GE52" s="200">
        <f t="shared" si="277"/>
        <v>0</v>
      </c>
      <c r="GF52" s="201">
        <f t="shared" ca="1" si="757"/>
        <v>0</v>
      </c>
      <c r="GG52" s="200">
        <f t="shared" si="279"/>
        <v>0</v>
      </c>
      <c r="GH52" s="201" cm="1">
        <f t="array" ref="GH52">IF(LEFT($AG52,3)="Res",IF(OR($DU52&gt;External_Threshold,$DK52&gt;0),1*Uplift*AWE*(External),0),0)</f>
        <v>0</v>
      </c>
      <c r="GI52" s="200">
        <f t="shared" si="280"/>
        <v>0</v>
      </c>
      <c r="GJ52" s="201">
        <f t="shared" si="758"/>
        <v>0</v>
      </c>
      <c r="GK52" s="203">
        <f t="shared" si="345"/>
        <v>0</v>
      </c>
      <c r="GL52" s="199">
        <f t="shared" ca="1" si="759"/>
        <v>0</v>
      </c>
      <c r="GM52" s="200">
        <f t="shared" si="283"/>
        <v>0</v>
      </c>
      <c r="GN52" s="201">
        <f t="shared" ca="1" si="760"/>
        <v>0</v>
      </c>
      <c r="GO52" s="200">
        <f t="shared" si="285"/>
        <v>0</v>
      </c>
      <c r="GP52" s="201" cm="1">
        <f t="array" ref="GP52">IF(LEFT($AG52,3)="Res",IF(OR($DV52&gt;External_Threshold,$DL52&gt;0),1*Uplift*AWE*(External),0),0)</f>
        <v>0</v>
      </c>
      <c r="GQ52" s="200">
        <f t="shared" si="286"/>
        <v>0</v>
      </c>
      <c r="GR52" s="201">
        <f t="shared" si="761"/>
        <v>0</v>
      </c>
      <c r="GS52" s="203">
        <f t="shared" si="346"/>
        <v>0</v>
      </c>
      <c r="GT52" s="199">
        <f t="shared" ca="1" si="762"/>
        <v>0</v>
      </c>
      <c r="GU52" s="200">
        <f t="shared" si="289"/>
        <v>0</v>
      </c>
      <c r="GV52" s="201">
        <f t="shared" ca="1" si="763"/>
        <v>0</v>
      </c>
      <c r="GW52" s="200">
        <f t="shared" si="291"/>
        <v>0</v>
      </c>
      <c r="GX52" s="201" cm="1">
        <f t="array" ref="GX52">IF(LEFT($AG52,3)="Res",IF(OR($DW52&gt;External_Threshold,$DM52&gt;0),1*Uplift*AWE*(External),0),0)</f>
        <v>0</v>
      </c>
      <c r="GY52" s="200">
        <f t="shared" si="292"/>
        <v>0</v>
      </c>
      <c r="GZ52" s="201">
        <f t="shared" si="764"/>
        <v>0</v>
      </c>
      <c r="HA52" s="203">
        <f t="shared" si="347"/>
        <v>0</v>
      </c>
      <c r="HB52" s="54"/>
      <c r="HC52" s="54"/>
      <c r="HD52" s="54"/>
      <c r="HE52" s="54"/>
      <c r="HF52" s="54"/>
      <c r="HG52" s="201">
        <f t="shared" ca="1" si="348"/>
        <v>123026.65725455567</v>
      </c>
      <c r="HH52" s="201">
        <f t="shared" ca="1" si="349"/>
        <v>52419.691023104126</v>
      </c>
      <c r="HI52" s="201">
        <f t="shared" ca="1" si="350"/>
        <v>629.61126185881972</v>
      </c>
      <c r="HJ52" s="201">
        <f t="shared" ca="1" si="351"/>
        <v>0</v>
      </c>
      <c r="HK52" s="201">
        <f t="shared" ca="1" si="352"/>
        <v>0</v>
      </c>
      <c r="HL52" s="201">
        <f t="shared" ca="1" si="353"/>
        <v>0</v>
      </c>
      <c r="HM52" s="201">
        <f t="shared" ca="1" si="354"/>
        <v>0</v>
      </c>
      <c r="HN52" s="201">
        <f t="shared" ca="1" si="355"/>
        <v>0</v>
      </c>
      <c r="HO52" s="201">
        <f t="shared" ca="1" si="356"/>
        <v>0</v>
      </c>
      <c r="HP52" s="201">
        <f t="shared" ca="1" si="357"/>
        <v>0</v>
      </c>
      <c r="HQ52" s="54"/>
    </row>
    <row r="53" spans="1:225" x14ac:dyDescent="0.3">
      <c r="A53" s="513">
        <v>35</v>
      </c>
      <c r="B53" s="514" t="s">
        <v>458</v>
      </c>
      <c r="C53" s="514" t="s">
        <v>390</v>
      </c>
      <c r="D53" s="514" t="s">
        <v>390</v>
      </c>
      <c r="E53" s="513">
        <v>1</v>
      </c>
      <c r="F53" s="515">
        <v>6.37</v>
      </c>
      <c r="G53" s="515">
        <v>5.14</v>
      </c>
      <c r="H53" s="513">
        <v>1</v>
      </c>
      <c r="I53" s="517">
        <v>1</v>
      </c>
      <c r="J53" s="518" t="s">
        <v>42</v>
      </c>
      <c r="K53" s="513">
        <f t="shared" si="724"/>
        <v>90</v>
      </c>
      <c r="L53" s="519">
        <v>7.3</v>
      </c>
      <c r="M53" s="519">
        <v>6.5</v>
      </c>
      <c r="N53" s="519">
        <v>6.2</v>
      </c>
      <c r="O53" s="519">
        <v>5.9</v>
      </c>
      <c r="P53" s="519">
        <v>5.45</v>
      </c>
      <c r="Q53" s="519">
        <v>4.97</v>
      </c>
      <c r="R53" s="519">
        <v>4.17</v>
      </c>
      <c r="S53" s="519">
        <v>0</v>
      </c>
      <c r="T53" s="519">
        <v>0</v>
      </c>
      <c r="U53" s="519">
        <v>0</v>
      </c>
      <c r="V53" s="536"/>
      <c r="W53" s="536"/>
      <c r="X53" s="536"/>
      <c r="Y53" s="536"/>
      <c r="Z53" s="536"/>
      <c r="AA53" s="536"/>
      <c r="AB53" s="536"/>
      <c r="AC53" s="536"/>
      <c r="AD53" s="536"/>
      <c r="AE53" s="536"/>
      <c r="AF53" s="54"/>
      <c r="AG53" s="204" t="str">
        <f t="shared" si="465"/>
        <v>Res1</v>
      </c>
      <c r="AH53" s="204">
        <f t="shared" si="294"/>
        <v>4</v>
      </c>
      <c r="AI53" s="204">
        <f t="shared" si="725"/>
        <v>1</v>
      </c>
      <c r="AJ53" s="54"/>
      <c r="AK53" s="74">
        <f>IFERROR(IF(H53&gt;4,0,AI53*Inputs!$C$55),0)</f>
        <v>2.6</v>
      </c>
      <c r="AL53" s="81">
        <f>IFERROR(Inputs!$C$73,0)</f>
        <v>5</v>
      </c>
      <c r="AM53" s="211">
        <f>IFERROR(Inputs!$C$74,0)</f>
        <v>0.24299999999999999</v>
      </c>
      <c r="AN53" s="446">
        <f>IFERROR(HLOOKUP(HLOOKUP(AN$17,$V$18:$AE53,COUNTA($AK$18:$AK53),FALSE),Inputs!$B$58:$H$59,2,FALSE),0)</f>
        <v>0</v>
      </c>
      <c r="AO53" s="447">
        <f t="shared" si="295"/>
        <v>0</v>
      </c>
      <c r="AP53" s="447">
        <f t="shared" si="296"/>
        <v>0</v>
      </c>
      <c r="AQ53" s="446">
        <f>IFERROR(HLOOKUP(HLOOKUP(AQ$17,$V$18:$AE53,COUNTA($AK$18:$AK53),FALSE),Inputs!$B$58:$H$59,2,FALSE),0)</f>
        <v>0</v>
      </c>
      <c r="AR53" s="447">
        <f t="shared" ref="AR53" si="774">2*$AK53*AQ53*$AL53/100*$AM53</f>
        <v>0</v>
      </c>
      <c r="AS53" s="447">
        <f t="shared" si="298"/>
        <v>0</v>
      </c>
      <c r="AT53" s="446">
        <f>IFERROR(HLOOKUP(HLOOKUP(AT$17,$V$18:$AE53,COUNTA($AK$18:$AK53),FALSE),Inputs!$B$58:$H$59,2,FALSE),0)</f>
        <v>0</v>
      </c>
      <c r="AU53" s="447">
        <f t="shared" ref="AU53" si="775">2*$AK53*AT53*$AL53/100*$AM53</f>
        <v>0</v>
      </c>
      <c r="AV53" s="447">
        <f t="shared" si="300"/>
        <v>0</v>
      </c>
      <c r="AW53" s="446">
        <f>IFERROR(HLOOKUP(HLOOKUP(AW$17,$V$18:$AE53,COUNTA($AK$18:$AK53),FALSE),Inputs!$B$58:$H$59,2,FALSE),0)</f>
        <v>0</v>
      </c>
      <c r="AX53" s="447">
        <f t="shared" ref="AX53" si="776">2*$AK53*AW53*$AL53/100*$AM53</f>
        <v>0</v>
      </c>
      <c r="AY53" s="447">
        <f t="shared" si="302"/>
        <v>0</v>
      </c>
      <c r="AZ53" s="446">
        <f>IFERROR(HLOOKUP(HLOOKUP(AZ$17,$V$18:$AE53,COUNTA($AK$18:$AK53),FALSE),Inputs!$B$58:$H$59,2,FALSE),0)</f>
        <v>0</v>
      </c>
      <c r="BA53" s="447">
        <f t="shared" ref="BA53" si="777">2*$AK53*AZ53*$AL53/100*$AM53</f>
        <v>0</v>
      </c>
      <c r="BB53" s="447">
        <f t="shared" si="304"/>
        <v>0</v>
      </c>
      <c r="BC53" s="446">
        <f>IFERROR(HLOOKUP(HLOOKUP(BC$17,$V$18:$AE53,COUNTA($AK$18:$AK53),FALSE),Inputs!$B$58:$H$59,2,FALSE),0)</f>
        <v>0</v>
      </c>
      <c r="BD53" s="447">
        <f t="shared" ref="BD53" si="778">2*$AK53*BC53*$AL53/100*$AM53</f>
        <v>0</v>
      </c>
      <c r="BE53" s="447">
        <f t="shared" si="306"/>
        <v>0</v>
      </c>
      <c r="BF53" s="446">
        <f>IFERROR(HLOOKUP(HLOOKUP(BF$17,$V$18:$AE53,COUNTA($AK$18:$AK53),FALSE),Inputs!$B$58:$H$59,2,FALSE),0)</f>
        <v>0</v>
      </c>
      <c r="BG53" s="447">
        <f t="shared" ref="BG53" si="779">2*$AK53*BF53*$AL53/100*$AM53</f>
        <v>0</v>
      </c>
      <c r="BH53" s="447">
        <f t="shared" si="308"/>
        <v>0</v>
      </c>
      <c r="BI53" s="446">
        <f>IFERROR(HLOOKUP(HLOOKUP(BI$17,$V$18:$AE53,COUNTA($AK$18:$AK53),FALSE),Inputs!$B$58:$H$59,2,FALSE),0)</f>
        <v>0</v>
      </c>
      <c r="BJ53" s="447">
        <f t="shared" ref="BJ53" si="780">2*$AK53*BI53*$AL53/100*$AM53</f>
        <v>0</v>
      </c>
      <c r="BK53" s="447">
        <f t="shared" si="310"/>
        <v>0</v>
      </c>
      <c r="BL53" s="446">
        <f>IFERROR(HLOOKUP(HLOOKUP(BL$17,$V$18:$AE53,COUNTA($AK$18:$AK53),FALSE),Inputs!$B$58:$H$59,2,FALSE),0)</f>
        <v>0</v>
      </c>
      <c r="BM53" s="447">
        <f t="shared" ref="BM53" si="781">2*$AK53*BL53*$AL53/100*$AM53</f>
        <v>0</v>
      </c>
      <c r="BN53" s="447">
        <f t="shared" si="312"/>
        <v>0</v>
      </c>
      <c r="BO53" s="446">
        <f>IFERROR(HLOOKUP(HLOOKUP(BO$17,$V$18:$AE53,COUNTA($AK$18:$AK53),FALSE),Inputs!$B$58:$H$59,2,FALSE),0)</f>
        <v>0</v>
      </c>
      <c r="BP53" s="447">
        <f t="shared" ref="BP53" si="782">2*$AK53*BO53*$AL53/100*$AM53</f>
        <v>0</v>
      </c>
      <c r="BQ53" s="447">
        <f t="shared" si="314"/>
        <v>0</v>
      </c>
      <c r="BR53" s="54"/>
      <c r="BS53" s="103">
        <f t="shared" ca="1" si="735"/>
        <v>144.83711573579959</v>
      </c>
      <c r="BT53" s="103">
        <f t="shared" ca="1" si="396"/>
        <v>98.363055613373533</v>
      </c>
      <c r="BU53" s="103">
        <f t="shared" si="397"/>
        <v>541.68672214182345</v>
      </c>
      <c r="BV53" s="103">
        <f t="shared" si="398"/>
        <v>0</v>
      </c>
      <c r="BW53" s="152">
        <f t="shared" ca="1" si="399"/>
        <v>784.8868934909965</v>
      </c>
      <c r="BX53" s="441"/>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188">
        <f t="shared" si="315"/>
        <v>0.92999999999999972</v>
      </c>
      <c r="DE53" s="188">
        <f t="shared" si="316"/>
        <v>0.12999999999999989</v>
      </c>
      <c r="DF53" s="188">
        <f t="shared" si="317"/>
        <v>-0.16999999999999993</v>
      </c>
      <c r="DG53" s="188">
        <f t="shared" si="318"/>
        <v>-0.3</v>
      </c>
      <c r="DH53" s="188">
        <f t="shared" si="319"/>
        <v>-0.3</v>
      </c>
      <c r="DI53" s="188">
        <f t="shared" si="320"/>
        <v>-0.3</v>
      </c>
      <c r="DJ53" s="188">
        <f t="shared" si="321"/>
        <v>-0.3</v>
      </c>
      <c r="DK53" s="188">
        <f t="shared" si="322"/>
        <v>-0.3</v>
      </c>
      <c r="DL53" s="188">
        <f t="shared" si="323"/>
        <v>-0.3</v>
      </c>
      <c r="DM53" s="188">
        <f t="shared" si="324"/>
        <v>-0.3</v>
      </c>
      <c r="DN53" s="189">
        <f t="shared" si="325"/>
        <v>2.16</v>
      </c>
      <c r="DO53" s="189">
        <f t="shared" si="326"/>
        <v>1.3600000000000003</v>
      </c>
      <c r="DP53" s="189">
        <f t="shared" si="327"/>
        <v>1.0600000000000005</v>
      </c>
      <c r="DQ53" s="189">
        <f t="shared" si="328"/>
        <v>0.76000000000000068</v>
      </c>
      <c r="DR53" s="189">
        <f t="shared" si="329"/>
        <v>0.3100000000000005</v>
      </c>
      <c r="DS53" s="189">
        <f t="shared" si="330"/>
        <v>0</v>
      </c>
      <c r="DT53" s="189">
        <f t="shared" si="331"/>
        <v>0</v>
      </c>
      <c r="DU53" s="189">
        <f t="shared" si="332"/>
        <v>0</v>
      </c>
      <c r="DV53" s="189">
        <f t="shared" si="333"/>
        <v>0</v>
      </c>
      <c r="DW53" s="189">
        <f t="shared" si="334"/>
        <v>0</v>
      </c>
      <c r="DX53" s="54"/>
      <c r="DY53" s="54"/>
      <c r="DZ53" s="199">
        <f t="shared" ca="1" si="736"/>
        <v>44318.767185238794</v>
      </c>
      <c r="EA53" s="200">
        <f t="shared" si="335"/>
        <v>1</v>
      </c>
      <c r="EB53" s="201">
        <f t="shared" ca="1" si="737"/>
        <v>49722.21153125503</v>
      </c>
      <c r="EC53" s="200">
        <f t="shared" si="336"/>
        <v>1</v>
      </c>
      <c r="ED53" s="201" cm="1">
        <f t="array" ref="ED53">IF(LEFT($AG53,3)="Res",IF(OR($DN53&gt;External_Threshold,$DD53&gt;0),1*Uplift*AWE*(External),0),0)</f>
        <v>15481.186685962373</v>
      </c>
      <c r="EE53" s="200">
        <f t="shared" si="337"/>
        <v>1</v>
      </c>
      <c r="EF53" s="201">
        <f t="shared" si="738"/>
        <v>0</v>
      </c>
      <c r="EG53" s="203">
        <f t="shared" si="338"/>
        <v>0</v>
      </c>
      <c r="EH53" s="199">
        <f t="shared" ca="1" si="739"/>
        <v>38124.357362518094</v>
      </c>
      <c r="EI53" s="200">
        <f t="shared" si="241"/>
        <v>1</v>
      </c>
      <c r="EJ53" s="201">
        <f t="shared" ca="1" si="740"/>
        <v>19594.971999909729</v>
      </c>
      <c r="EK53" s="200">
        <f t="shared" si="243"/>
        <v>1</v>
      </c>
      <c r="EL53" s="201" cm="1">
        <f t="array" ref="EL53">IF(LEFT($AG53,3)="Res",IF(OR($DO53&gt;External_Threshold,$DE53&gt;0),1*Uplift*AWE*(External),0),0)</f>
        <v>15481.186685962373</v>
      </c>
      <c r="EM53" s="200">
        <f t="shared" si="244"/>
        <v>1</v>
      </c>
      <c r="EN53" s="201">
        <f t="shared" si="741"/>
        <v>0</v>
      </c>
      <c r="EO53" s="203">
        <f t="shared" si="339"/>
        <v>0</v>
      </c>
      <c r="EP53" s="199">
        <f t="shared" ca="1" si="742"/>
        <v>1404.9176917510854</v>
      </c>
      <c r="EQ53" s="200">
        <f t="shared" si="247"/>
        <v>0</v>
      </c>
      <c r="ER53" s="201">
        <f t="shared" ca="1" si="743"/>
        <v>0</v>
      </c>
      <c r="ES53" s="200">
        <f t="shared" si="249"/>
        <v>0</v>
      </c>
      <c r="ET53" s="201" cm="1">
        <f t="array" ref="ET53">IF(LEFT($AG53,3)="Res",IF(OR($DP53&gt;External_Threshold,$DF53&gt;0),1*Uplift*AWE*(External),0),0)</f>
        <v>15481.186685962373</v>
      </c>
      <c r="EU53" s="200">
        <f t="shared" si="250"/>
        <v>1</v>
      </c>
      <c r="EV53" s="201">
        <f t="shared" si="744"/>
        <v>0</v>
      </c>
      <c r="EW53" s="203">
        <f t="shared" si="340"/>
        <v>0</v>
      </c>
      <c r="EX53" s="199">
        <f t="shared" ca="1" si="745"/>
        <v>0</v>
      </c>
      <c r="EY53" s="200">
        <f t="shared" si="253"/>
        <v>0</v>
      </c>
      <c r="EZ53" s="201">
        <f t="shared" ca="1" si="746"/>
        <v>0</v>
      </c>
      <c r="FA53" s="200">
        <f t="shared" si="255"/>
        <v>0</v>
      </c>
      <c r="FB53" s="201" cm="1">
        <f t="array" ref="FB53">IF(LEFT($AG53,3)="Res",IF(OR($DQ53&gt;External_Threshold,$DG53&gt;0),1*Uplift*AWE*(External),0),0)</f>
        <v>15481.186685962373</v>
      </c>
      <c r="FC53" s="200">
        <f t="shared" si="256"/>
        <v>1</v>
      </c>
      <c r="FD53" s="201">
        <f t="shared" si="257"/>
        <v>0</v>
      </c>
      <c r="FE53" s="203">
        <f t="shared" si="341"/>
        <v>0</v>
      </c>
      <c r="FF53" s="199">
        <f t="shared" ca="1" si="747"/>
        <v>0</v>
      </c>
      <c r="FG53" s="200">
        <f t="shared" si="259"/>
        <v>0</v>
      </c>
      <c r="FH53" s="201">
        <f t="shared" ca="1" si="748"/>
        <v>0</v>
      </c>
      <c r="FI53" s="200">
        <f t="shared" si="261"/>
        <v>0</v>
      </c>
      <c r="FJ53" s="201" cm="1">
        <f t="array" ref="FJ53">IF(LEFT($AG53,3)="Res",IF(OR($DR53&gt;External_Threshold,$DH53&gt;0),1*Uplift*AWE*(External),0),0)</f>
        <v>15481.186685962373</v>
      </c>
      <c r="FK53" s="200">
        <f t="shared" si="262"/>
        <v>1</v>
      </c>
      <c r="FL53" s="201">
        <f t="shared" si="749"/>
        <v>0</v>
      </c>
      <c r="FM53" s="203">
        <f t="shared" si="342"/>
        <v>0</v>
      </c>
      <c r="FN53" s="199">
        <f t="shared" ca="1" si="750"/>
        <v>0</v>
      </c>
      <c r="FO53" s="200">
        <f t="shared" si="265"/>
        <v>0</v>
      </c>
      <c r="FP53" s="201">
        <f t="shared" ca="1" si="751"/>
        <v>0</v>
      </c>
      <c r="FQ53" s="200">
        <f t="shared" si="267"/>
        <v>0</v>
      </c>
      <c r="FR53" s="201" cm="1">
        <f t="array" ref="FR53">IF(LEFT($AG53,3)="Res",IF(OR($DS53&gt;External_Threshold,$DI53&gt;0),1*Uplift*AWE*(External),0),0)</f>
        <v>0</v>
      </c>
      <c r="FS53" s="200">
        <f t="shared" si="268"/>
        <v>0</v>
      </c>
      <c r="FT53" s="201">
        <f t="shared" si="752"/>
        <v>0</v>
      </c>
      <c r="FU53" s="203">
        <f t="shared" si="343"/>
        <v>0</v>
      </c>
      <c r="FV53" s="199">
        <f t="shared" ca="1" si="753"/>
        <v>0</v>
      </c>
      <c r="FW53" s="200">
        <f t="shared" si="271"/>
        <v>0</v>
      </c>
      <c r="FX53" s="201">
        <f t="shared" ca="1" si="754"/>
        <v>0</v>
      </c>
      <c r="FY53" s="200">
        <f t="shared" si="273"/>
        <v>0</v>
      </c>
      <c r="FZ53" s="201" cm="1">
        <f t="array" ref="FZ53">IF(LEFT($AG53,3)="Res",IF(OR($DT53&gt;External_Threshold,$DJ53&gt;0),1*Uplift*AWE*(External),0),0)</f>
        <v>0</v>
      </c>
      <c r="GA53" s="200">
        <f t="shared" si="274"/>
        <v>0</v>
      </c>
      <c r="GB53" s="201">
        <f t="shared" si="755"/>
        <v>0</v>
      </c>
      <c r="GC53" s="203">
        <f t="shared" si="344"/>
        <v>0</v>
      </c>
      <c r="GD53" s="199">
        <f t="shared" ca="1" si="756"/>
        <v>0</v>
      </c>
      <c r="GE53" s="200">
        <f t="shared" si="277"/>
        <v>0</v>
      </c>
      <c r="GF53" s="201">
        <f t="shared" ca="1" si="757"/>
        <v>0</v>
      </c>
      <c r="GG53" s="200">
        <f t="shared" si="279"/>
        <v>0</v>
      </c>
      <c r="GH53" s="201" cm="1">
        <f t="array" ref="GH53">IF(LEFT($AG53,3)="Res",IF(OR($DU53&gt;External_Threshold,$DK53&gt;0),1*Uplift*AWE*(External),0),0)</f>
        <v>0</v>
      </c>
      <c r="GI53" s="200">
        <f t="shared" si="280"/>
        <v>0</v>
      </c>
      <c r="GJ53" s="201">
        <f t="shared" si="758"/>
        <v>0</v>
      </c>
      <c r="GK53" s="203">
        <f t="shared" si="345"/>
        <v>0</v>
      </c>
      <c r="GL53" s="199">
        <f t="shared" ca="1" si="759"/>
        <v>0</v>
      </c>
      <c r="GM53" s="200">
        <f t="shared" si="283"/>
        <v>0</v>
      </c>
      <c r="GN53" s="201">
        <f t="shared" ca="1" si="760"/>
        <v>0</v>
      </c>
      <c r="GO53" s="200">
        <f t="shared" si="285"/>
        <v>0</v>
      </c>
      <c r="GP53" s="201" cm="1">
        <f t="array" ref="GP53">IF(LEFT($AG53,3)="Res",IF(OR($DV53&gt;External_Threshold,$DL53&gt;0),1*Uplift*AWE*(External),0),0)</f>
        <v>0</v>
      </c>
      <c r="GQ53" s="200">
        <f t="shared" si="286"/>
        <v>0</v>
      </c>
      <c r="GR53" s="201">
        <f t="shared" si="761"/>
        <v>0</v>
      </c>
      <c r="GS53" s="203">
        <f t="shared" si="346"/>
        <v>0</v>
      </c>
      <c r="GT53" s="199">
        <f t="shared" ca="1" si="762"/>
        <v>0</v>
      </c>
      <c r="GU53" s="200">
        <f t="shared" si="289"/>
        <v>0</v>
      </c>
      <c r="GV53" s="201">
        <f t="shared" ca="1" si="763"/>
        <v>0</v>
      </c>
      <c r="GW53" s="200">
        <f t="shared" si="291"/>
        <v>0</v>
      </c>
      <c r="GX53" s="201" cm="1">
        <f t="array" ref="GX53">IF(LEFT($AG53,3)="Res",IF(OR($DW53&gt;External_Threshold,$DM53&gt;0),1*Uplift*AWE*(External),0),0)</f>
        <v>0</v>
      </c>
      <c r="GY53" s="200">
        <f t="shared" si="292"/>
        <v>0</v>
      </c>
      <c r="GZ53" s="201">
        <f t="shared" si="764"/>
        <v>0</v>
      </c>
      <c r="HA53" s="203">
        <f t="shared" si="347"/>
        <v>0</v>
      </c>
      <c r="HB53" s="54"/>
      <c r="HC53" s="54"/>
      <c r="HD53" s="54"/>
      <c r="HE53" s="54"/>
      <c r="HF53" s="54"/>
      <c r="HG53" s="201">
        <f t="shared" ca="1" si="348"/>
        <v>109522.16540245619</v>
      </c>
      <c r="HH53" s="201">
        <f t="shared" ca="1" si="349"/>
        <v>73200.5160483902</v>
      </c>
      <c r="HI53" s="201">
        <f t="shared" ca="1" si="350"/>
        <v>16886.104377713458</v>
      </c>
      <c r="HJ53" s="201">
        <f t="shared" ca="1" si="351"/>
        <v>15481.186685962373</v>
      </c>
      <c r="HK53" s="201">
        <f t="shared" ca="1" si="352"/>
        <v>15481.186685962373</v>
      </c>
      <c r="HL53" s="201">
        <f t="shared" ca="1" si="353"/>
        <v>0</v>
      </c>
      <c r="HM53" s="201">
        <f t="shared" ca="1" si="354"/>
        <v>0</v>
      </c>
      <c r="HN53" s="201">
        <f t="shared" ca="1" si="355"/>
        <v>0</v>
      </c>
      <c r="HO53" s="201">
        <f t="shared" ca="1" si="356"/>
        <v>0</v>
      </c>
      <c r="HP53" s="201">
        <f t="shared" ca="1" si="357"/>
        <v>0</v>
      </c>
      <c r="HQ53" s="54"/>
    </row>
    <row r="54" spans="1:225" x14ac:dyDescent="0.3">
      <c r="A54" s="513">
        <v>36</v>
      </c>
      <c r="B54" s="514" t="s">
        <v>459</v>
      </c>
      <c r="C54" s="514" t="s">
        <v>390</v>
      </c>
      <c r="D54" s="514" t="s">
        <v>390</v>
      </c>
      <c r="E54" s="513">
        <v>1</v>
      </c>
      <c r="F54" s="515">
        <v>6.05</v>
      </c>
      <c r="G54" s="515">
        <v>5.82</v>
      </c>
      <c r="H54" s="513">
        <v>2</v>
      </c>
      <c r="I54" s="517">
        <v>1</v>
      </c>
      <c r="J54" s="518" t="s">
        <v>43</v>
      </c>
      <c r="K54" s="513">
        <f t="shared" si="724"/>
        <v>180</v>
      </c>
      <c r="L54" s="519">
        <v>7.3</v>
      </c>
      <c r="M54" s="519">
        <v>6.5</v>
      </c>
      <c r="N54" s="519">
        <v>6.2</v>
      </c>
      <c r="O54" s="519">
        <v>5.9</v>
      </c>
      <c r="P54" s="519">
        <v>5.45</v>
      </c>
      <c r="Q54" s="519">
        <v>4.97</v>
      </c>
      <c r="R54" s="519">
        <v>4.17</v>
      </c>
      <c r="S54" s="519">
        <v>0</v>
      </c>
      <c r="T54" s="519">
        <v>0</v>
      </c>
      <c r="U54" s="519">
        <v>0</v>
      </c>
      <c r="V54" s="536"/>
      <c r="W54" s="536"/>
      <c r="X54" s="536"/>
      <c r="Y54" s="536"/>
      <c r="Z54" s="536"/>
      <c r="AA54" s="536"/>
      <c r="AB54" s="536"/>
      <c r="AC54" s="536"/>
      <c r="AD54" s="536"/>
      <c r="AE54" s="536"/>
      <c r="AF54" s="54"/>
      <c r="AG54" s="204" t="str">
        <f t="shared" si="465"/>
        <v>Res1</v>
      </c>
      <c r="AH54" s="204">
        <f t="shared" si="294"/>
        <v>5</v>
      </c>
      <c r="AI54" s="204">
        <f t="shared" si="725"/>
        <v>1</v>
      </c>
      <c r="AJ54" s="54"/>
      <c r="AK54" s="74">
        <f>IFERROR(IF(H54&gt;4,0,AI54*Inputs!$C$55),0)</f>
        <v>2.6</v>
      </c>
      <c r="AL54" s="81">
        <f>IFERROR(Inputs!$C$73,0)</f>
        <v>5</v>
      </c>
      <c r="AM54" s="211">
        <f>IFERROR(Inputs!$C$74,0)</f>
        <v>0.24299999999999999</v>
      </c>
      <c r="AN54" s="446">
        <f>IFERROR(HLOOKUP(HLOOKUP(AN$17,$V$18:$AE54,COUNTA($AK$18:$AK54),FALSE),Inputs!$B$58:$H$59,2,FALSE),0)</f>
        <v>0</v>
      </c>
      <c r="AO54" s="447">
        <f t="shared" si="295"/>
        <v>0</v>
      </c>
      <c r="AP54" s="447">
        <f t="shared" si="296"/>
        <v>0</v>
      </c>
      <c r="AQ54" s="446">
        <f>IFERROR(HLOOKUP(HLOOKUP(AQ$17,$V$18:$AE54,COUNTA($AK$18:$AK54),FALSE),Inputs!$B$58:$H$59,2,FALSE),0)</f>
        <v>0</v>
      </c>
      <c r="AR54" s="447">
        <f t="shared" ref="AR54" si="783">2*$AK54*AQ54*$AL54/100*$AM54</f>
        <v>0</v>
      </c>
      <c r="AS54" s="447">
        <f t="shared" si="298"/>
        <v>0</v>
      </c>
      <c r="AT54" s="446">
        <f>IFERROR(HLOOKUP(HLOOKUP(AT$17,$V$18:$AE54,COUNTA($AK$18:$AK54),FALSE),Inputs!$B$58:$H$59,2,FALSE),0)</f>
        <v>0</v>
      </c>
      <c r="AU54" s="447">
        <f t="shared" ref="AU54" si="784">2*$AK54*AT54*$AL54/100*$AM54</f>
        <v>0</v>
      </c>
      <c r="AV54" s="447">
        <f t="shared" si="300"/>
        <v>0</v>
      </c>
      <c r="AW54" s="446">
        <f>IFERROR(HLOOKUP(HLOOKUP(AW$17,$V$18:$AE54,COUNTA($AK$18:$AK54),FALSE),Inputs!$B$58:$H$59,2,FALSE),0)</f>
        <v>0</v>
      </c>
      <c r="AX54" s="447">
        <f t="shared" ref="AX54" si="785">2*$AK54*AW54*$AL54/100*$AM54</f>
        <v>0</v>
      </c>
      <c r="AY54" s="447">
        <f t="shared" si="302"/>
        <v>0</v>
      </c>
      <c r="AZ54" s="446">
        <f>IFERROR(HLOOKUP(HLOOKUP(AZ$17,$V$18:$AE54,COUNTA($AK$18:$AK54),FALSE),Inputs!$B$58:$H$59,2,FALSE),0)</f>
        <v>0</v>
      </c>
      <c r="BA54" s="447">
        <f t="shared" ref="BA54" si="786">2*$AK54*AZ54*$AL54/100*$AM54</f>
        <v>0</v>
      </c>
      <c r="BB54" s="447">
        <f t="shared" si="304"/>
        <v>0</v>
      </c>
      <c r="BC54" s="446">
        <f>IFERROR(HLOOKUP(HLOOKUP(BC$17,$V$18:$AE54,COUNTA($AK$18:$AK54),FALSE),Inputs!$B$58:$H$59,2,FALSE),0)</f>
        <v>0</v>
      </c>
      <c r="BD54" s="447">
        <f t="shared" ref="BD54" si="787">2*$AK54*BC54*$AL54/100*$AM54</f>
        <v>0</v>
      </c>
      <c r="BE54" s="447">
        <f t="shared" si="306"/>
        <v>0</v>
      </c>
      <c r="BF54" s="446">
        <f>IFERROR(HLOOKUP(HLOOKUP(BF$17,$V$18:$AE54,COUNTA($AK$18:$AK54),FALSE),Inputs!$B$58:$H$59,2,FALSE),0)</f>
        <v>0</v>
      </c>
      <c r="BG54" s="447">
        <f t="shared" ref="BG54" si="788">2*$AK54*BF54*$AL54/100*$AM54</f>
        <v>0</v>
      </c>
      <c r="BH54" s="447">
        <f t="shared" si="308"/>
        <v>0</v>
      </c>
      <c r="BI54" s="446">
        <f>IFERROR(HLOOKUP(HLOOKUP(BI$17,$V$18:$AE54,COUNTA($AK$18:$AK54),FALSE),Inputs!$B$58:$H$59,2,FALSE),0)</f>
        <v>0</v>
      </c>
      <c r="BJ54" s="447">
        <f t="shared" ref="BJ54" si="789">2*$AK54*BI54*$AL54/100*$AM54</f>
        <v>0</v>
      </c>
      <c r="BK54" s="447">
        <f t="shared" si="310"/>
        <v>0</v>
      </c>
      <c r="BL54" s="446">
        <f>IFERROR(HLOOKUP(HLOOKUP(BL$17,$V$18:$AE54,COUNTA($AK$18:$AK54),FALSE),Inputs!$B$58:$H$59,2,FALSE),0)</f>
        <v>0</v>
      </c>
      <c r="BM54" s="447">
        <f t="shared" ref="BM54" si="790">2*$AK54*BL54*$AL54/100*$AM54</f>
        <v>0</v>
      </c>
      <c r="BN54" s="447">
        <f t="shared" si="312"/>
        <v>0</v>
      </c>
      <c r="BO54" s="446">
        <f>IFERROR(HLOOKUP(HLOOKUP(BO$17,$V$18:$AE54,COUNTA($AK$18:$AK54),FALSE),Inputs!$B$58:$H$59,2,FALSE),0)</f>
        <v>0</v>
      </c>
      <c r="BP54" s="447">
        <f t="shared" ref="BP54" si="791">2*$AK54*BO54*$AL54/100*$AM54</f>
        <v>0</v>
      </c>
      <c r="BQ54" s="447">
        <f t="shared" si="314"/>
        <v>0</v>
      </c>
      <c r="BR54" s="54"/>
      <c r="BS54" s="103">
        <f t="shared" ca="1" si="735"/>
        <v>629.64323910998564</v>
      </c>
      <c r="BT54" s="103">
        <f t="shared" ca="1" si="396"/>
        <v>359.41640037333832</v>
      </c>
      <c r="BU54" s="103">
        <f t="shared" si="397"/>
        <v>115.95408827785818</v>
      </c>
      <c r="BV54" s="103">
        <f t="shared" si="398"/>
        <v>0</v>
      </c>
      <c r="BW54" s="152">
        <f t="shared" ca="1" si="399"/>
        <v>1105.0137277611821</v>
      </c>
      <c r="BX54" s="441"/>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188">
        <f t="shared" si="315"/>
        <v>1.25</v>
      </c>
      <c r="DE54" s="188">
        <f t="shared" si="316"/>
        <v>0.45000000000000018</v>
      </c>
      <c r="DF54" s="188">
        <f t="shared" si="317"/>
        <v>0.15000000000000036</v>
      </c>
      <c r="DG54" s="188">
        <f t="shared" si="318"/>
        <v>-0.14999999999999947</v>
      </c>
      <c r="DH54" s="188">
        <f t="shared" si="319"/>
        <v>-0.3</v>
      </c>
      <c r="DI54" s="188">
        <f t="shared" si="320"/>
        <v>-0.3</v>
      </c>
      <c r="DJ54" s="188">
        <f t="shared" si="321"/>
        <v>-0.3</v>
      </c>
      <c r="DK54" s="188">
        <f t="shared" si="322"/>
        <v>-0.3</v>
      </c>
      <c r="DL54" s="188">
        <f t="shared" si="323"/>
        <v>-0.3</v>
      </c>
      <c r="DM54" s="188">
        <f t="shared" si="324"/>
        <v>-0.3</v>
      </c>
      <c r="DN54" s="189">
        <f t="shared" si="325"/>
        <v>1.4799999999999995</v>
      </c>
      <c r="DO54" s="189">
        <f t="shared" si="326"/>
        <v>0.67999999999999972</v>
      </c>
      <c r="DP54" s="189">
        <f t="shared" si="327"/>
        <v>0.37999999999999989</v>
      </c>
      <c r="DQ54" s="189">
        <f t="shared" si="328"/>
        <v>8.0000000000000071E-2</v>
      </c>
      <c r="DR54" s="189">
        <f t="shared" si="329"/>
        <v>0</v>
      </c>
      <c r="DS54" s="189">
        <f t="shared" si="330"/>
        <v>0</v>
      </c>
      <c r="DT54" s="189">
        <f t="shared" si="331"/>
        <v>0</v>
      </c>
      <c r="DU54" s="189">
        <f t="shared" si="332"/>
        <v>0</v>
      </c>
      <c r="DV54" s="189">
        <f t="shared" si="333"/>
        <v>0</v>
      </c>
      <c r="DW54" s="189">
        <f t="shared" si="334"/>
        <v>0</v>
      </c>
      <c r="DX54" s="54"/>
      <c r="DY54" s="54"/>
      <c r="DZ54" s="199">
        <f t="shared" ca="1" si="736"/>
        <v>100132.31548480465</v>
      </c>
      <c r="EA54" s="200">
        <f t="shared" si="335"/>
        <v>1</v>
      </c>
      <c r="EB54" s="201">
        <f t="shared" ca="1" si="737"/>
        <v>91021.436636040264</v>
      </c>
      <c r="EC54" s="200">
        <f t="shared" si="336"/>
        <v>1</v>
      </c>
      <c r="ED54" s="201" cm="1">
        <f t="array" ref="ED54">IF(LEFT($AG54,3)="Res",IF(OR($DN54&gt;External_Threshold,$DD54&gt;0),1*Uplift*AWE*(External),0),0)</f>
        <v>15481.186685962373</v>
      </c>
      <c r="EE54" s="200">
        <f t="shared" si="337"/>
        <v>1</v>
      </c>
      <c r="EF54" s="201">
        <f t="shared" si="738"/>
        <v>0</v>
      </c>
      <c r="EG54" s="203">
        <f t="shared" si="338"/>
        <v>0</v>
      </c>
      <c r="EH54" s="199">
        <f t="shared" ca="1" si="739"/>
        <v>81740.665701881328</v>
      </c>
      <c r="EI54" s="200">
        <f t="shared" si="241"/>
        <v>1</v>
      </c>
      <c r="EJ54" s="201">
        <f t="shared" ca="1" si="740"/>
        <v>58232.583134749664</v>
      </c>
      <c r="EK54" s="200">
        <f t="shared" si="243"/>
        <v>1</v>
      </c>
      <c r="EL54" s="201" cm="1">
        <f t="array" ref="EL54">IF(LEFT($AG54,3)="Res",IF(OR($DO54&gt;External_Threshold,$DE54&gt;0),1*Uplift*AWE*(External),0),0)</f>
        <v>15481.186685962373</v>
      </c>
      <c r="EM54" s="200">
        <f t="shared" si="244"/>
        <v>1</v>
      </c>
      <c r="EN54" s="201">
        <f t="shared" si="741"/>
        <v>0</v>
      </c>
      <c r="EO54" s="203">
        <f t="shared" si="339"/>
        <v>0</v>
      </c>
      <c r="EP54" s="199">
        <f t="shared" ca="1" si="742"/>
        <v>76248.714725036189</v>
      </c>
      <c r="EQ54" s="200">
        <f t="shared" si="247"/>
        <v>1</v>
      </c>
      <c r="ER54" s="201">
        <f t="shared" ca="1" si="743"/>
        <v>30889.943999819458</v>
      </c>
      <c r="ES54" s="200">
        <f t="shared" si="249"/>
        <v>1</v>
      </c>
      <c r="ET54" s="201" cm="1">
        <f t="array" ref="ET54">IF(LEFT($AG54,3)="Res",IF(OR($DP54&gt;External_Threshold,$DF54&gt;0),1*Uplift*AWE*(External),0),0)</f>
        <v>15481.186685962373</v>
      </c>
      <c r="EU54" s="200">
        <f t="shared" si="250"/>
        <v>1</v>
      </c>
      <c r="EV54" s="201">
        <f t="shared" si="744"/>
        <v>0</v>
      </c>
      <c r="EW54" s="203">
        <f t="shared" si="340"/>
        <v>0</v>
      </c>
      <c r="EX54" s="199">
        <f t="shared" ca="1" si="745"/>
        <v>2809.8353835021708</v>
      </c>
      <c r="EY54" s="200">
        <f t="shared" si="253"/>
        <v>0</v>
      </c>
      <c r="EZ54" s="201">
        <f t="shared" ca="1" si="746"/>
        <v>0</v>
      </c>
      <c r="FA54" s="200">
        <f t="shared" si="255"/>
        <v>0</v>
      </c>
      <c r="FB54" s="201" cm="1">
        <f t="array" ref="FB54">IF(LEFT($AG54,3)="Res",IF(OR($DQ54&gt;External_Threshold,$DG54&gt;0),1*Uplift*AWE*(External),0),0)</f>
        <v>0</v>
      </c>
      <c r="FC54" s="200">
        <f t="shared" si="256"/>
        <v>1</v>
      </c>
      <c r="FD54" s="201">
        <f t="shared" si="257"/>
        <v>0</v>
      </c>
      <c r="FE54" s="203">
        <f t="shared" si="341"/>
        <v>0</v>
      </c>
      <c r="FF54" s="199">
        <f t="shared" ca="1" si="747"/>
        <v>0</v>
      </c>
      <c r="FG54" s="200">
        <f t="shared" si="259"/>
        <v>0</v>
      </c>
      <c r="FH54" s="201">
        <f t="shared" ca="1" si="748"/>
        <v>0</v>
      </c>
      <c r="FI54" s="200">
        <f t="shared" si="261"/>
        <v>0</v>
      </c>
      <c r="FJ54" s="201" cm="1">
        <f t="array" ref="FJ54">IF(LEFT($AG54,3)="Res",IF(OR($DR54&gt;External_Threshold,$DH54&gt;0),1*Uplift*AWE*(External),0),0)</f>
        <v>0</v>
      </c>
      <c r="FK54" s="200">
        <f t="shared" si="262"/>
        <v>0</v>
      </c>
      <c r="FL54" s="201">
        <f t="shared" si="749"/>
        <v>0</v>
      </c>
      <c r="FM54" s="203">
        <f t="shared" si="342"/>
        <v>0</v>
      </c>
      <c r="FN54" s="199">
        <f t="shared" ca="1" si="750"/>
        <v>0</v>
      </c>
      <c r="FO54" s="200">
        <f t="shared" si="265"/>
        <v>0</v>
      </c>
      <c r="FP54" s="201">
        <f t="shared" ca="1" si="751"/>
        <v>0</v>
      </c>
      <c r="FQ54" s="200">
        <f t="shared" si="267"/>
        <v>0</v>
      </c>
      <c r="FR54" s="201" cm="1">
        <f t="array" ref="FR54">IF(LEFT($AG54,3)="Res",IF(OR($DS54&gt;External_Threshold,$DI54&gt;0),1*Uplift*AWE*(External),0),0)</f>
        <v>0</v>
      </c>
      <c r="FS54" s="200">
        <f t="shared" si="268"/>
        <v>0</v>
      </c>
      <c r="FT54" s="201">
        <f t="shared" si="752"/>
        <v>0</v>
      </c>
      <c r="FU54" s="203">
        <f t="shared" si="343"/>
        <v>0</v>
      </c>
      <c r="FV54" s="199">
        <f t="shared" ca="1" si="753"/>
        <v>0</v>
      </c>
      <c r="FW54" s="200">
        <f t="shared" si="271"/>
        <v>0</v>
      </c>
      <c r="FX54" s="201">
        <f t="shared" ca="1" si="754"/>
        <v>0</v>
      </c>
      <c r="FY54" s="200">
        <f t="shared" si="273"/>
        <v>0</v>
      </c>
      <c r="FZ54" s="201" cm="1">
        <f t="array" ref="FZ54">IF(LEFT($AG54,3)="Res",IF(OR($DT54&gt;External_Threshold,$DJ54&gt;0),1*Uplift*AWE*(External),0),0)</f>
        <v>0</v>
      </c>
      <c r="GA54" s="200">
        <f t="shared" si="274"/>
        <v>0</v>
      </c>
      <c r="GB54" s="201">
        <f t="shared" si="755"/>
        <v>0</v>
      </c>
      <c r="GC54" s="203">
        <f t="shared" si="344"/>
        <v>0</v>
      </c>
      <c r="GD54" s="199">
        <f t="shared" ca="1" si="756"/>
        <v>0</v>
      </c>
      <c r="GE54" s="200">
        <f t="shared" si="277"/>
        <v>0</v>
      </c>
      <c r="GF54" s="201">
        <f t="shared" ca="1" si="757"/>
        <v>0</v>
      </c>
      <c r="GG54" s="200">
        <f t="shared" si="279"/>
        <v>0</v>
      </c>
      <c r="GH54" s="201" cm="1">
        <f t="array" ref="GH54">IF(LEFT($AG54,3)="Res",IF(OR($DU54&gt;External_Threshold,$DK54&gt;0),1*Uplift*AWE*(External),0),0)</f>
        <v>0</v>
      </c>
      <c r="GI54" s="200">
        <f t="shared" si="280"/>
        <v>0</v>
      </c>
      <c r="GJ54" s="201">
        <f t="shared" si="758"/>
        <v>0</v>
      </c>
      <c r="GK54" s="203">
        <f t="shared" si="345"/>
        <v>0</v>
      </c>
      <c r="GL54" s="199">
        <f t="shared" ca="1" si="759"/>
        <v>0</v>
      </c>
      <c r="GM54" s="200">
        <f t="shared" si="283"/>
        <v>0</v>
      </c>
      <c r="GN54" s="201">
        <f t="shared" ca="1" si="760"/>
        <v>0</v>
      </c>
      <c r="GO54" s="200">
        <f t="shared" si="285"/>
        <v>0</v>
      </c>
      <c r="GP54" s="201" cm="1">
        <f t="array" ref="GP54">IF(LEFT($AG54,3)="Res",IF(OR($DV54&gt;External_Threshold,$DL54&gt;0),1*Uplift*AWE*(External),0),0)</f>
        <v>0</v>
      </c>
      <c r="GQ54" s="200">
        <f t="shared" si="286"/>
        <v>0</v>
      </c>
      <c r="GR54" s="201">
        <f t="shared" si="761"/>
        <v>0</v>
      </c>
      <c r="GS54" s="203">
        <f t="shared" si="346"/>
        <v>0</v>
      </c>
      <c r="GT54" s="199">
        <f t="shared" ca="1" si="762"/>
        <v>0</v>
      </c>
      <c r="GU54" s="200">
        <f t="shared" si="289"/>
        <v>0</v>
      </c>
      <c r="GV54" s="201">
        <f t="shared" ca="1" si="763"/>
        <v>0</v>
      </c>
      <c r="GW54" s="200">
        <f t="shared" si="291"/>
        <v>0</v>
      </c>
      <c r="GX54" s="201" cm="1">
        <f t="array" ref="GX54">IF(LEFT($AG54,3)="Res",IF(OR($DW54&gt;External_Threshold,$DM54&gt;0),1*Uplift*AWE*(External),0),0)</f>
        <v>0</v>
      </c>
      <c r="GY54" s="200">
        <f t="shared" si="292"/>
        <v>0</v>
      </c>
      <c r="GZ54" s="201">
        <f t="shared" si="764"/>
        <v>0</v>
      </c>
      <c r="HA54" s="203">
        <f t="shared" si="347"/>
        <v>0</v>
      </c>
      <c r="HB54" s="54"/>
      <c r="HC54" s="54"/>
      <c r="HD54" s="54"/>
      <c r="HE54" s="54"/>
      <c r="HF54" s="54"/>
      <c r="HG54" s="201">
        <f t="shared" ca="1" si="348"/>
        <v>206634.93880680727</v>
      </c>
      <c r="HH54" s="201">
        <f t="shared" ca="1" si="349"/>
        <v>155454.43552259335</v>
      </c>
      <c r="HI54" s="201">
        <f t="shared" ca="1" si="350"/>
        <v>122619.84541081802</v>
      </c>
      <c r="HJ54" s="201">
        <f t="shared" ca="1" si="351"/>
        <v>2809.8353835021708</v>
      </c>
      <c r="HK54" s="201">
        <f t="shared" ca="1" si="352"/>
        <v>0</v>
      </c>
      <c r="HL54" s="201">
        <f t="shared" ca="1" si="353"/>
        <v>0</v>
      </c>
      <c r="HM54" s="201">
        <f t="shared" ca="1" si="354"/>
        <v>0</v>
      </c>
      <c r="HN54" s="201">
        <f t="shared" ca="1" si="355"/>
        <v>0</v>
      </c>
      <c r="HO54" s="201">
        <f t="shared" ca="1" si="356"/>
        <v>0</v>
      </c>
      <c r="HP54" s="201">
        <f t="shared" ca="1" si="357"/>
        <v>0</v>
      </c>
      <c r="HQ54" s="54"/>
    </row>
    <row r="55" spans="1:225" x14ac:dyDescent="0.3">
      <c r="A55" s="513">
        <v>37</v>
      </c>
      <c r="B55" s="514" t="s">
        <v>460</v>
      </c>
      <c r="C55" s="514" t="s">
        <v>390</v>
      </c>
      <c r="D55" s="514" t="s">
        <v>390</v>
      </c>
      <c r="E55" s="513">
        <v>1</v>
      </c>
      <c r="F55" s="515">
        <v>5.92</v>
      </c>
      <c r="G55" s="515">
        <v>5.44</v>
      </c>
      <c r="H55" s="513">
        <v>2</v>
      </c>
      <c r="I55" s="517">
        <v>1</v>
      </c>
      <c r="J55" s="518" t="s">
        <v>44</v>
      </c>
      <c r="K55" s="513">
        <f t="shared" si="724"/>
        <v>240</v>
      </c>
      <c r="L55" s="519">
        <v>7.52</v>
      </c>
      <c r="M55" s="519">
        <v>6.5299999999999994</v>
      </c>
      <c r="N55" s="519">
        <v>6.2299999999999995</v>
      </c>
      <c r="O55" s="519">
        <v>5.93</v>
      </c>
      <c r="P55" s="519">
        <v>5.45</v>
      </c>
      <c r="Q55" s="519">
        <v>4.97</v>
      </c>
      <c r="R55" s="519">
        <v>4.17</v>
      </c>
      <c r="S55" s="519">
        <v>0</v>
      </c>
      <c r="T55" s="519">
        <v>0</v>
      </c>
      <c r="U55" s="519">
        <v>0</v>
      </c>
      <c r="V55" s="536"/>
      <c r="W55" s="536"/>
      <c r="X55" s="536"/>
      <c r="Y55" s="536"/>
      <c r="Z55" s="536"/>
      <c r="AA55" s="536"/>
      <c r="AB55" s="536"/>
      <c r="AC55" s="536"/>
      <c r="AD55" s="536"/>
      <c r="AE55" s="536"/>
      <c r="AF55" s="54"/>
      <c r="AG55" s="204" t="str">
        <f t="shared" si="465"/>
        <v>Res1</v>
      </c>
      <c r="AH55" s="204">
        <f t="shared" si="294"/>
        <v>6</v>
      </c>
      <c r="AI55" s="204">
        <f t="shared" si="725"/>
        <v>1</v>
      </c>
      <c r="AJ55" s="54"/>
      <c r="AK55" s="74">
        <f>IFERROR(IF(H55&gt;4,0,AI55*Inputs!$C$55),0)</f>
        <v>2.6</v>
      </c>
      <c r="AL55" s="81">
        <f>IFERROR(Inputs!$C$73,0)</f>
        <v>5</v>
      </c>
      <c r="AM55" s="211">
        <f>IFERROR(Inputs!$C$74,0)</f>
        <v>0.24299999999999999</v>
      </c>
      <c r="AN55" s="446">
        <f>IFERROR(HLOOKUP(HLOOKUP(AN$17,$V$18:$AE55,COUNTA($AK$18:$AK55),FALSE),Inputs!$B$58:$H$59,2,FALSE),0)</f>
        <v>0</v>
      </c>
      <c r="AO55" s="447">
        <f t="shared" si="295"/>
        <v>0</v>
      </c>
      <c r="AP55" s="447">
        <f t="shared" si="296"/>
        <v>0</v>
      </c>
      <c r="AQ55" s="446">
        <f>IFERROR(HLOOKUP(HLOOKUP(AQ$17,$V$18:$AE55,COUNTA($AK$18:$AK55),FALSE),Inputs!$B$58:$H$59,2,FALSE),0)</f>
        <v>0</v>
      </c>
      <c r="AR55" s="447">
        <f t="shared" ref="AR55" si="792">2*$AK55*AQ55*$AL55/100*$AM55</f>
        <v>0</v>
      </c>
      <c r="AS55" s="447">
        <f t="shared" si="298"/>
        <v>0</v>
      </c>
      <c r="AT55" s="446">
        <f>IFERROR(HLOOKUP(HLOOKUP(AT$17,$V$18:$AE55,COUNTA($AK$18:$AK55),FALSE),Inputs!$B$58:$H$59,2,FALSE),0)</f>
        <v>0</v>
      </c>
      <c r="AU55" s="447">
        <f t="shared" ref="AU55" si="793">2*$AK55*AT55*$AL55/100*$AM55</f>
        <v>0</v>
      </c>
      <c r="AV55" s="447">
        <f t="shared" si="300"/>
        <v>0</v>
      </c>
      <c r="AW55" s="446">
        <f>IFERROR(HLOOKUP(HLOOKUP(AW$17,$V$18:$AE55,COUNTA($AK$18:$AK55),FALSE),Inputs!$B$58:$H$59,2,FALSE),0)</f>
        <v>0</v>
      </c>
      <c r="AX55" s="447">
        <f t="shared" ref="AX55" si="794">2*$AK55*AW55*$AL55/100*$AM55</f>
        <v>0</v>
      </c>
      <c r="AY55" s="447">
        <f t="shared" si="302"/>
        <v>0</v>
      </c>
      <c r="AZ55" s="446">
        <f>IFERROR(HLOOKUP(HLOOKUP(AZ$17,$V$18:$AE55,COUNTA($AK$18:$AK55),FALSE),Inputs!$B$58:$H$59,2,FALSE),0)</f>
        <v>0</v>
      </c>
      <c r="BA55" s="447">
        <f t="shared" ref="BA55" si="795">2*$AK55*AZ55*$AL55/100*$AM55</f>
        <v>0</v>
      </c>
      <c r="BB55" s="447">
        <f t="shared" si="304"/>
        <v>0</v>
      </c>
      <c r="BC55" s="446">
        <f>IFERROR(HLOOKUP(HLOOKUP(BC$17,$V$18:$AE55,COUNTA($AK$18:$AK55),FALSE),Inputs!$B$58:$H$59,2,FALSE),0)</f>
        <v>0</v>
      </c>
      <c r="BD55" s="447">
        <f t="shared" ref="BD55" si="796">2*$AK55*BC55*$AL55/100*$AM55</f>
        <v>0</v>
      </c>
      <c r="BE55" s="447">
        <f t="shared" si="306"/>
        <v>0</v>
      </c>
      <c r="BF55" s="446">
        <f>IFERROR(HLOOKUP(HLOOKUP(BF$17,$V$18:$AE55,COUNTA($AK$18:$AK55),FALSE),Inputs!$B$58:$H$59,2,FALSE),0)</f>
        <v>0</v>
      </c>
      <c r="BG55" s="447">
        <f t="shared" ref="BG55" si="797">2*$AK55*BF55*$AL55/100*$AM55</f>
        <v>0</v>
      </c>
      <c r="BH55" s="447">
        <f t="shared" si="308"/>
        <v>0</v>
      </c>
      <c r="BI55" s="446">
        <f>IFERROR(HLOOKUP(HLOOKUP(BI$17,$V$18:$AE55,COUNTA($AK$18:$AK55),FALSE),Inputs!$B$58:$H$59,2,FALSE),0)</f>
        <v>0</v>
      </c>
      <c r="BJ55" s="447">
        <f t="shared" ref="BJ55" si="798">2*$AK55*BI55*$AL55/100*$AM55</f>
        <v>0</v>
      </c>
      <c r="BK55" s="447">
        <f t="shared" si="310"/>
        <v>0</v>
      </c>
      <c r="BL55" s="446">
        <f>IFERROR(HLOOKUP(HLOOKUP(BL$17,$V$18:$AE55,COUNTA($AK$18:$AK55),FALSE),Inputs!$B$58:$H$59,2,FALSE),0)</f>
        <v>0</v>
      </c>
      <c r="BM55" s="447">
        <f t="shared" ref="BM55" si="799">2*$AK55*BL55*$AL55/100*$AM55</f>
        <v>0</v>
      </c>
      <c r="BN55" s="447">
        <f t="shared" si="312"/>
        <v>0</v>
      </c>
      <c r="BO55" s="446">
        <f>IFERROR(HLOOKUP(HLOOKUP(BO$17,$V$18:$AE55,COUNTA($AK$18:$AK55),FALSE),Inputs!$B$58:$H$59,2,FALSE),0)</f>
        <v>0</v>
      </c>
      <c r="BP55" s="447">
        <f t="shared" ref="BP55" si="800">2*$AK55*BO55*$AL55/100*$AM55</f>
        <v>0</v>
      </c>
      <c r="BQ55" s="447">
        <f t="shared" si="314"/>
        <v>0</v>
      </c>
      <c r="BR55" s="54"/>
      <c r="BS55" s="103">
        <f t="shared" ca="1" si="735"/>
        <v>917.50990915581281</v>
      </c>
      <c r="BT55" s="103">
        <f t="shared" ca="1" si="396"/>
        <v>581.76082449121805</v>
      </c>
      <c r="BU55" s="103">
        <f t="shared" si="397"/>
        <v>232.06298842257598</v>
      </c>
      <c r="BV55" s="103">
        <f t="shared" si="398"/>
        <v>0</v>
      </c>
      <c r="BW55" s="152">
        <f t="shared" ca="1" si="399"/>
        <v>1731.3337220696067</v>
      </c>
      <c r="BX55" s="441"/>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188">
        <f t="shared" si="315"/>
        <v>1.5999999999999996</v>
      </c>
      <c r="DE55" s="188">
        <f t="shared" si="316"/>
        <v>0.60999999999999943</v>
      </c>
      <c r="DF55" s="188">
        <f t="shared" si="317"/>
        <v>0.30999999999999961</v>
      </c>
      <c r="DG55" s="188">
        <f t="shared" si="318"/>
        <v>9.9999999999997868E-3</v>
      </c>
      <c r="DH55" s="188">
        <f t="shared" si="319"/>
        <v>-0.3</v>
      </c>
      <c r="DI55" s="188">
        <f t="shared" si="320"/>
        <v>-0.3</v>
      </c>
      <c r="DJ55" s="188">
        <f t="shared" si="321"/>
        <v>-0.3</v>
      </c>
      <c r="DK55" s="188">
        <f t="shared" si="322"/>
        <v>-0.3</v>
      </c>
      <c r="DL55" s="188">
        <f t="shared" si="323"/>
        <v>-0.3</v>
      </c>
      <c r="DM55" s="188">
        <f t="shared" si="324"/>
        <v>-0.3</v>
      </c>
      <c r="DN55" s="189">
        <f t="shared" si="325"/>
        <v>2.0799999999999992</v>
      </c>
      <c r="DO55" s="189">
        <f t="shared" si="326"/>
        <v>1.089999999999999</v>
      </c>
      <c r="DP55" s="189">
        <f t="shared" si="327"/>
        <v>0.78999999999999915</v>
      </c>
      <c r="DQ55" s="189">
        <f t="shared" si="328"/>
        <v>0.48999999999999932</v>
      </c>
      <c r="DR55" s="189">
        <f t="shared" si="329"/>
        <v>9.9999999999997868E-3</v>
      </c>
      <c r="DS55" s="189">
        <f t="shared" si="330"/>
        <v>0</v>
      </c>
      <c r="DT55" s="189">
        <f t="shared" si="331"/>
        <v>0</v>
      </c>
      <c r="DU55" s="189">
        <f t="shared" si="332"/>
        <v>0</v>
      </c>
      <c r="DV55" s="189">
        <f t="shared" si="333"/>
        <v>0</v>
      </c>
      <c r="DW55" s="189">
        <f t="shared" si="334"/>
        <v>0</v>
      </c>
      <c r="DX55" s="54"/>
      <c r="DY55" s="54"/>
      <c r="DZ55" s="199">
        <f t="shared" ca="1" si="736"/>
        <v>149085.89194404247</v>
      </c>
      <c r="EA55" s="200">
        <f t="shared" si="335"/>
        <v>1</v>
      </c>
      <c r="EB55" s="201">
        <f t="shared" ca="1" si="737"/>
        <v>122226.76468383893</v>
      </c>
      <c r="EC55" s="200">
        <f t="shared" si="336"/>
        <v>1</v>
      </c>
      <c r="ED55" s="201" cm="1">
        <f t="array" ref="ED55">IF(LEFT($AG55,3)="Res",IF(OR($DN55&gt;External_Threshold,$DD55&gt;0),1*Uplift*AWE*(External),0),0)</f>
        <v>15481.186685962373</v>
      </c>
      <c r="EE55" s="200">
        <f t="shared" si="337"/>
        <v>1</v>
      </c>
      <c r="EF55" s="201">
        <f t="shared" si="738"/>
        <v>0</v>
      </c>
      <c r="EG55" s="203">
        <f t="shared" si="338"/>
        <v>0</v>
      </c>
      <c r="EH55" s="199">
        <f t="shared" ca="1" si="739"/>
        <v>111031.07091172214</v>
      </c>
      <c r="EI55" s="200">
        <f t="shared" si="241"/>
        <v>1</v>
      </c>
      <c r="EJ55" s="201">
        <f t="shared" ca="1" si="740"/>
        <v>83821.826099800572</v>
      </c>
      <c r="EK55" s="200">
        <f t="shared" si="243"/>
        <v>1</v>
      </c>
      <c r="EL55" s="201" cm="1">
        <f t="array" ref="EL55">IF(LEFT($AG55,3)="Res",IF(OR($DO55&gt;External_Threshold,$DE55&gt;0),1*Uplift*AWE*(External),0),0)</f>
        <v>15481.186685962373</v>
      </c>
      <c r="EM55" s="200">
        <f t="shared" si="244"/>
        <v>1</v>
      </c>
      <c r="EN55" s="201">
        <f t="shared" si="741"/>
        <v>0</v>
      </c>
      <c r="EO55" s="203">
        <f t="shared" si="339"/>
        <v>0</v>
      </c>
      <c r="EP55" s="199">
        <f t="shared" ca="1" si="742"/>
        <v>108987.5542691751</v>
      </c>
      <c r="EQ55" s="200">
        <f t="shared" si="247"/>
        <v>1</v>
      </c>
      <c r="ER55" s="201">
        <f t="shared" ca="1" si="743"/>
        <v>62752.434377948979</v>
      </c>
      <c r="ES55" s="200">
        <f t="shared" si="249"/>
        <v>1</v>
      </c>
      <c r="ET55" s="201" cm="1">
        <f t="array" ref="ET55">IF(LEFT($AG55,3)="Res",IF(OR($DP55&gt;External_Threshold,$DF55&gt;0),1*Uplift*AWE*(External),0),0)</f>
        <v>15481.186685962373</v>
      </c>
      <c r="EU55" s="200">
        <f t="shared" si="250"/>
        <v>1</v>
      </c>
      <c r="EV55" s="201">
        <f t="shared" si="744"/>
        <v>0</v>
      </c>
      <c r="EW55" s="203">
        <f t="shared" si="340"/>
        <v>0</v>
      </c>
      <c r="EX55" s="199">
        <f t="shared" ca="1" si="745"/>
        <v>7492.8943560057887</v>
      </c>
      <c r="EY55" s="200">
        <f t="shared" si="253"/>
        <v>1</v>
      </c>
      <c r="EZ55" s="201">
        <f t="shared" ca="1" si="746"/>
        <v>0</v>
      </c>
      <c r="FA55" s="200">
        <f t="shared" si="255"/>
        <v>1</v>
      </c>
      <c r="FB55" s="201" cm="1">
        <f t="array" ref="FB55">IF(LEFT($AG55,3)="Res",IF(OR($DQ55&gt;External_Threshold,$DG55&gt;0),1*Uplift*AWE*(External),0),0)</f>
        <v>15481.186685962373</v>
      </c>
      <c r="FC55" s="200">
        <f t="shared" si="256"/>
        <v>1</v>
      </c>
      <c r="FD55" s="201">
        <f t="shared" si="257"/>
        <v>0</v>
      </c>
      <c r="FE55" s="203">
        <f t="shared" si="341"/>
        <v>0</v>
      </c>
      <c r="FF55" s="199">
        <f t="shared" ca="1" si="747"/>
        <v>0</v>
      </c>
      <c r="FG55" s="200">
        <f t="shared" si="259"/>
        <v>0</v>
      </c>
      <c r="FH55" s="201">
        <f t="shared" ca="1" si="748"/>
        <v>0</v>
      </c>
      <c r="FI55" s="200">
        <f t="shared" si="261"/>
        <v>0</v>
      </c>
      <c r="FJ55" s="201" cm="1">
        <f t="array" ref="FJ55">IF(LEFT($AG55,3)="Res",IF(OR($DR55&gt;External_Threshold,$DH55&gt;0),1*Uplift*AWE*(External),0),0)</f>
        <v>0</v>
      </c>
      <c r="FK55" s="200">
        <f t="shared" si="262"/>
        <v>1</v>
      </c>
      <c r="FL55" s="201">
        <f t="shared" si="749"/>
        <v>0</v>
      </c>
      <c r="FM55" s="203">
        <f t="shared" si="342"/>
        <v>0</v>
      </c>
      <c r="FN55" s="199">
        <f t="shared" ca="1" si="750"/>
        <v>0</v>
      </c>
      <c r="FO55" s="200">
        <f t="shared" si="265"/>
        <v>0</v>
      </c>
      <c r="FP55" s="201">
        <f t="shared" ca="1" si="751"/>
        <v>0</v>
      </c>
      <c r="FQ55" s="200">
        <f t="shared" si="267"/>
        <v>0</v>
      </c>
      <c r="FR55" s="201" cm="1">
        <f t="array" ref="FR55">IF(LEFT($AG55,3)="Res",IF(OR($DS55&gt;External_Threshold,$DI55&gt;0),1*Uplift*AWE*(External),0),0)</f>
        <v>0</v>
      </c>
      <c r="FS55" s="200">
        <f t="shared" si="268"/>
        <v>0</v>
      </c>
      <c r="FT55" s="201">
        <f t="shared" si="752"/>
        <v>0</v>
      </c>
      <c r="FU55" s="203">
        <f t="shared" si="343"/>
        <v>0</v>
      </c>
      <c r="FV55" s="199">
        <f t="shared" ca="1" si="753"/>
        <v>0</v>
      </c>
      <c r="FW55" s="200">
        <f t="shared" si="271"/>
        <v>0</v>
      </c>
      <c r="FX55" s="201">
        <f t="shared" ca="1" si="754"/>
        <v>0</v>
      </c>
      <c r="FY55" s="200">
        <f t="shared" si="273"/>
        <v>0</v>
      </c>
      <c r="FZ55" s="201" cm="1">
        <f t="array" ref="FZ55">IF(LEFT($AG55,3)="Res",IF(OR($DT55&gt;External_Threshold,$DJ55&gt;0),1*Uplift*AWE*(External),0),0)</f>
        <v>0</v>
      </c>
      <c r="GA55" s="200">
        <f t="shared" si="274"/>
        <v>0</v>
      </c>
      <c r="GB55" s="201">
        <f t="shared" si="755"/>
        <v>0</v>
      </c>
      <c r="GC55" s="203">
        <f t="shared" si="344"/>
        <v>0</v>
      </c>
      <c r="GD55" s="199">
        <f t="shared" ca="1" si="756"/>
        <v>0</v>
      </c>
      <c r="GE55" s="200">
        <f t="shared" si="277"/>
        <v>0</v>
      </c>
      <c r="GF55" s="201">
        <f t="shared" ca="1" si="757"/>
        <v>0</v>
      </c>
      <c r="GG55" s="200">
        <f t="shared" si="279"/>
        <v>0</v>
      </c>
      <c r="GH55" s="201" cm="1">
        <f t="array" ref="GH55">IF(LEFT($AG55,3)="Res",IF(OR($DU55&gt;External_Threshold,$DK55&gt;0),1*Uplift*AWE*(External),0),0)</f>
        <v>0</v>
      </c>
      <c r="GI55" s="200">
        <f t="shared" si="280"/>
        <v>0</v>
      </c>
      <c r="GJ55" s="201">
        <f t="shared" si="758"/>
        <v>0</v>
      </c>
      <c r="GK55" s="203">
        <f t="shared" si="345"/>
        <v>0</v>
      </c>
      <c r="GL55" s="199">
        <f t="shared" ca="1" si="759"/>
        <v>0</v>
      </c>
      <c r="GM55" s="200">
        <f t="shared" si="283"/>
        <v>0</v>
      </c>
      <c r="GN55" s="201">
        <f t="shared" ca="1" si="760"/>
        <v>0</v>
      </c>
      <c r="GO55" s="200">
        <f t="shared" si="285"/>
        <v>0</v>
      </c>
      <c r="GP55" s="201" cm="1">
        <f t="array" ref="GP55">IF(LEFT($AG55,3)="Res",IF(OR($DV55&gt;External_Threshold,$DL55&gt;0),1*Uplift*AWE*(External),0),0)</f>
        <v>0</v>
      </c>
      <c r="GQ55" s="200">
        <f t="shared" si="286"/>
        <v>0</v>
      </c>
      <c r="GR55" s="201">
        <f t="shared" si="761"/>
        <v>0</v>
      </c>
      <c r="GS55" s="203">
        <f t="shared" si="346"/>
        <v>0</v>
      </c>
      <c r="GT55" s="199">
        <f t="shared" ca="1" si="762"/>
        <v>0</v>
      </c>
      <c r="GU55" s="200">
        <f t="shared" si="289"/>
        <v>0</v>
      </c>
      <c r="GV55" s="201">
        <f t="shared" ca="1" si="763"/>
        <v>0</v>
      </c>
      <c r="GW55" s="200">
        <f t="shared" si="291"/>
        <v>0</v>
      </c>
      <c r="GX55" s="201" cm="1">
        <f t="array" ref="GX55">IF(LEFT($AG55,3)="Res",IF(OR($DW55&gt;External_Threshold,$DM55&gt;0),1*Uplift*AWE*(External),0),0)</f>
        <v>0</v>
      </c>
      <c r="GY55" s="200">
        <f t="shared" si="292"/>
        <v>0</v>
      </c>
      <c r="GZ55" s="201">
        <f t="shared" si="764"/>
        <v>0</v>
      </c>
      <c r="HA55" s="203">
        <f t="shared" si="347"/>
        <v>0</v>
      </c>
      <c r="HB55" s="54"/>
      <c r="HC55" s="54"/>
      <c r="HD55" s="54"/>
      <c r="HE55" s="54"/>
      <c r="HF55" s="54"/>
      <c r="HG55" s="201">
        <f t="shared" ca="1" si="348"/>
        <v>286793.84331384377</v>
      </c>
      <c r="HH55" s="201">
        <f t="shared" ca="1" si="349"/>
        <v>210334.0836974851</v>
      </c>
      <c r="HI55" s="201">
        <f t="shared" ca="1" si="350"/>
        <v>187221.17533308646</v>
      </c>
      <c r="HJ55" s="201">
        <f t="shared" ca="1" si="351"/>
        <v>22974.081041968162</v>
      </c>
      <c r="HK55" s="201">
        <f t="shared" ca="1" si="352"/>
        <v>0</v>
      </c>
      <c r="HL55" s="201">
        <f t="shared" ca="1" si="353"/>
        <v>0</v>
      </c>
      <c r="HM55" s="201">
        <f t="shared" ca="1" si="354"/>
        <v>0</v>
      </c>
      <c r="HN55" s="201">
        <f t="shared" ca="1" si="355"/>
        <v>0</v>
      </c>
      <c r="HO55" s="201">
        <f t="shared" ca="1" si="356"/>
        <v>0</v>
      </c>
      <c r="HP55" s="201">
        <f t="shared" ca="1" si="357"/>
        <v>0</v>
      </c>
      <c r="HQ55" s="54"/>
    </row>
    <row r="56" spans="1:225" x14ac:dyDescent="0.3">
      <c r="A56" s="513">
        <v>38</v>
      </c>
      <c r="B56" s="514" t="s">
        <v>461</v>
      </c>
      <c r="C56" s="514" t="s">
        <v>390</v>
      </c>
      <c r="D56" s="514" t="s">
        <v>390</v>
      </c>
      <c r="E56" s="513">
        <v>1</v>
      </c>
      <c r="F56" s="515">
        <v>6.66</v>
      </c>
      <c r="G56" s="515">
        <v>5.76</v>
      </c>
      <c r="H56" s="513">
        <v>1</v>
      </c>
      <c r="I56" s="517">
        <v>1</v>
      </c>
      <c r="J56" s="518" t="s">
        <v>295</v>
      </c>
      <c r="K56" s="513">
        <f t="shared" si="724"/>
        <v>220</v>
      </c>
      <c r="L56" s="519">
        <v>7.3</v>
      </c>
      <c r="M56" s="519">
        <v>6.5</v>
      </c>
      <c r="N56" s="519">
        <v>6.2</v>
      </c>
      <c r="O56" s="519">
        <v>5.9</v>
      </c>
      <c r="P56" s="519">
        <v>5.45</v>
      </c>
      <c r="Q56" s="519">
        <v>4.97</v>
      </c>
      <c r="R56" s="519">
        <v>4.17</v>
      </c>
      <c r="S56" s="519">
        <v>0</v>
      </c>
      <c r="T56" s="519">
        <v>0</v>
      </c>
      <c r="U56" s="519">
        <v>0</v>
      </c>
      <c r="V56" s="536"/>
      <c r="W56" s="536"/>
      <c r="X56" s="536"/>
      <c r="Y56" s="536"/>
      <c r="Z56" s="536"/>
      <c r="AA56" s="536"/>
      <c r="AB56" s="536"/>
      <c r="AC56" s="536"/>
      <c r="AD56" s="536"/>
      <c r="AE56" s="536"/>
      <c r="AF56" s="54"/>
      <c r="AG56" s="204" t="str">
        <f t="shared" si="465"/>
        <v>Res1</v>
      </c>
      <c r="AH56" s="204">
        <f t="shared" si="294"/>
        <v>6</v>
      </c>
      <c r="AI56" s="204">
        <f t="shared" si="725"/>
        <v>1</v>
      </c>
      <c r="AJ56" s="54"/>
      <c r="AK56" s="74">
        <f>IFERROR(IF(H56&gt;4,0,AI56*Inputs!$C$55),0)</f>
        <v>2.6</v>
      </c>
      <c r="AL56" s="81">
        <f>IFERROR(Inputs!$C$73,0)</f>
        <v>5</v>
      </c>
      <c r="AM56" s="211">
        <f>IFERROR(Inputs!$C$74,0)</f>
        <v>0.24299999999999999</v>
      </c>
      <c r="AN56" s="446">
        <f>IFERROR(HLOOKUP(HLOOKUP(AN$17,$V$18:$AE56,COUNTA($AK$18:$AK56),FALSE),Inputs!$B$58:$H$59,2,FALSE),0)</f>
        <v>0</v>
      </c>
      <c r="AO56" s="447">
        <f t="shared" si="295"/>
        <v>0</v>
      </c>
      <c r="AP56" s="447">
        <f t="shared" si="296"/>
        <v>0</v>
      </c>
      <c r="AQ56" s="446">
        <f>IFERROR(HLOOKUP(HLOOKUP(AQ$17,$V$18:$AE56,COUNTA($AK$18:$AK56),FALSE),Inputs!$B$58:$H$59,2,FALSE),0)</f>
        <v>0</v>
      </c>
      <c r="AR56" s="447">
        <f t="shared" ref="AR56" si="801">2*$AK56*AQ56*$AL56/100*$AM56</f>
        <v>0</v>
      </c>
      <c r="AS56" s="447">
        <f t="shared" si="298"/>
        <v>0</v>
      </c>
      <c r="AT56" s="446">
        <f>IFERROR(HLOOKUP(HLOOKUP(AT$17,$V$18:$AE56,COUNTA($AK$18:$AK56),FALSE),Inputs!$B$58:$H$59,2,FALSE),0)</f>
        <v>0</v>
      </c>
      <c r="AU56" s="447">
        <f t="shared" ref="AU56" si="802">2*$AK56*AT56*$AL56/100*$AM56</f>
        <v>0</v>
      </c>
      <c r="AV56" s="447">
        <f t="shared" si="300"/>
        <v>0</v>
      </c>
      <c r="AW56" s="446">
        <f>IFERROR(HLOOKUP(HLOOKUP(AW$17,$V$18:$AE56,COUNTA($AK$18:$AK56),FALSE),Inputs!$B$58:$H$59,2,FALSE),0)</f>
        <v>0</v>
      </c>
      <c r="AX56" s="447">
        <f t="shared" ref="AX56" si="803">2*$AK56*AW56*$AL56/100*$AM56</f>
        <v>0</v>
      </c>
      <c r="AY56" s="447">
        <f t="shared" si="302"/>
        <v>0</v>
      </c>
      <c r="AZ56" s="446">
        <f>IFERROR(HLOOKUP(HLOOKUP(AZ$17,$V$18:$AE56,COUNTA($AK$18:$AK56),FALSE),Inputs!$B$58:$H$59,2,FALSE),0)</f>
        <v>0</v>
      </c>
      <c r="BA56" s="447">
        <f t="shared" ref="BA56" si="804">2*$AK56*AZ56*$AL56/100*$AM56</f>
        <v>0</v>
      </c>
      <c r="BB56" s="447">
        <f t="shared" si="304"/>
        <v>0</v>
      </c>
      <c r="BC56" s="446">
        <f>IFERROR(HLOOKUP(HLOOKUP(BC$17,$V$18:$AE56,COUNTA($AK$18:$AK56),FALSE),Inputs!$B$58:$H$59,2,FALSE),0)</f>
        <v>0</v>
      </c>
      <c r="BD56" s="447">
        <f t="shared" ref="BD56" si="805">2*$AK56*BC56*$AL56/100*$AM56</f>
        <v>0</v>
      </c>
      <c r="BE56" s="447">
        <f t="shared" si="306"/>
        <v>0</v>
      </c>
      <c r="BF56" s="446">
        <f>IFERROR(HLOOKUP(HLOOKUP(BF$17,$V$18:$AE56,COUNTA($AK$18:$AK56),FALSE),Inputs!$B$58:$H$59,2,FALSE),0)</f>
        <v>0</v>
      </c>
      <c r="BG56" s="447">
        <f t="shared" ref="BG56" si="806">2*$AK56*BF56*$AL56/100*$AM56</f>
        <v>0</v>
      </c>
      <c r="BH56" s="447">
        <f t="shared" si="308"/>
        <v>0</v>
      </c>
      <c r="BI56" s="446">
        <f>IFERROR(HLOOKUP(HLOOKUP(BI$17,$V$18:$AE56,COUNTA($AK$18:$AK56),FALSE),Inputs!$B$58:$H$59,2,FALSE),0)</f>
        <v>0</v>
      </c>
      <c r="BJ56" s="447">
        <f t="shared" ref="BJ56" si="807">2*$AK56*BI56*$AL56/100*$AM56</f>
        <v>0</v>
      </c>
      <c r="BK56" s="447">
        <f t="shared" si="310"/>
        <v>0</v>
      </c>
      <c r="BL56" s="446">
        <f>IFERROR(HLOOKUP(HLOOKUP(BL$17,$V$18:$AE56,COUNTA($AK$18:$AK56),FALSE),Inputs!$B$58:$H$59,2,FALSE),0)</f>
        <v>0</v>
      </c>
      <c r="BM56" s="447">
        <f t="shared" ref="BM56" si="808">2*$AK56*BL56*$AL56/100*$AM56</f>
        <v>0</v>
      </c>
      <c r="BN56" s="447">
        <f t="shared" si="312"/>
        <v>0</v>
      </c>
      <c r="BO56" s="446">
        <f>IFERROR(HLOOKUP(HLOOKUP(BO$17,$V$18:$AE56,COUNTA($AK$18:$AK56),FALSE),Inputs!$B$58:$H$59,2,FALSE),0)</f>
        <v>0</v>
      </c>
      <c r="BP56" s="447">
        <f t="shared" ref="BP56" si="809">2*$AK56*BO56*$AL56/100*$AM56</f>
        <v>0</v>
      </c>
      <c r="BQ56" s="447">
        <f t="shared" si="314"/>
        <v>0</v>
      </c>
      <c r="BR56" s="54"/>
      <c r="BS56" s="103">
        <f t="shared" ca="1" si="735"/>
        <v>120.83995079594791</v>
      </c>
      <c r="BT56" s="103">
        <f t="shared" ca="1" si="396"/>
        <v>86.287441936418574</v>
      </c>
      <c r="BU56" s="103">
        <f t="shared" si="397"/>
        <v>115.95408827785818</v>
      </c>
      <c r="BV56" s="103">
        <f t="shared" si="398"/>
        <v>0</v>
      </c>
      <c r="BW56" s="152">
        <f t="shared" ca="1" si="399"/>
        <v>323.08148101022471</v>
      </c>
      <c r="BX56" s="441"/>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c r="DA56" s="54"/>
      <c r="DB56" s="54"/>
      <c r="DC56" s="54"/>
      <c r="DD56" s="188">
        <f t="shared" si="315"/>
        <v>0.63999999999999968</v>
      </c>
      <c r="DE56" s="188">
        <f t="shared" si="316"/>
        <v>-0.16000000000000014</v>
      </c>
      <c r="DF56" s="188">
        <f t="shared" si="317"/>
        <v>-0.3</v>
      </c>
      <c r="DG56" s="188">
        <f t="shared" si="318"/>
        <v>-0.3</v>
      </c>
      <c r="DH56" s="188">
        <f t="shared" si="319"/>
        <v>-0.3</v>
      </c>
      <c r="DI56" s="188">
        <f t="shared" si="320"/>
        <v>-0.3</v>
      </c>
      <c r="DJ56" s="188">
        <f t="shared" si="321"/>
        <v>-0.3</v>
      </c>
      <c r="DK56" s="188">
        <f t="shared" si="322"/>
        <v>-0.3</v>
      </c>
      <c r="DL56" s="188">
        <f t="shared" si="323"/>
        <v>-0.3</v>
      </c>
      <c r="DM56" s="188">
        <f t="shared" si="324"/>
        <v>-0.3</v>
      </c>
      <c r="DN56" s="189">
        <f t="shared" si="325"/>
        <v>1.54</v>
      </c>
      <c r="DO56" s="189">
        <f t="shared" si="326"/>
        <v>0.74000000000000021</v>
      </c>
      <c r="DP56" s="189">
        <f t="shared" si="327"/>
        <v>0.44000000000000039</v>
      </c>
      <c r="DQ56" s="189">
        <f t="shared" si="328"/>
        <v>0.14000000000000057</v>
      </c>
      <c r="DR56" s="189">
        <f t="shared" si="329"/>
        <v>0</v>
      </c>
      <c r="DS56" s="189">
        <f t="shared" si="330"/>
        <v>0</v>
      </c>
      <c r="DT56" s="189">
        <f t="shared" si="331"/>
        <v>0</v>
      </c>
      <c r="DU56" s="189">
        <f t="shared" si="332"/>
        <v>0</v>
      </c>
      <c r="DV56" s="189">
        <f t="shared" si="333"/>
        <v>0</v>
      </c>
      <c r="DW56" s="189">
        <f t="shared" si="334"/>
        <v>0</v>
      </c>
      <c r="DX56" s="54"/>
      <c r="DY56" s="54"/>
      <c r="DZ56" s="199">
        <f t="shared" ca="1" si="736"/>
        <v>112052.82923299567</v>
      </c>
      <c r="EA56" s="200">
        <f t="shared" si="335"/>
        <v>1</v>
      </c>
      <c r="EB56" s="201">
        <f t="shared" ca="1" si="737"/>
        <v>86721.04717227997</v>
      </c>
      <c r="EC56" s="200">
        <f t="shared" si="336"/>
        <v>1</v>
      </c>
      <c r="ED56" s="201" cm="1">
        <f t="array" ref="ED56">IF(LEFT($AG56,3)="Res",IF(OR($DN56&gt;External_Threshold,$DD56&gt;0),1*Uplift*AWE*(External),0),0)</f>
        <v>15481.186685962373</v>
      </c>
      <c r="EE56" s="200">
        <f t="shared" si="337"/>
        <v>1</v>
      </c>
      <c r="EF56" s="201">
        <f t="shared" si="738"/>
        <v>0</v>
      </c>
      <c r="EG56" s="203">
        <f t="shared" si="338"/>
        <v>0</v>
      </c>
      <c r="EH56" s="199">
        <f t="shared" ca="1" si="739"/>
        <v>3746.4471780028939</v>
      </c>
      <c r="EI56" s="200">
        <f t="shared" si="241"/>
        <v>0</v>
      </c>
      <c r="EJ56" s="201">
        <f t="shared" ca="1" si="740"/>
        <v>0</v>
      </c>
      <c r="EK56" s="200">
        <f t="shared" si="243"/>
        <v>0</v>
      </c>
      <c r="EL56" s="201" cm="1">
        <f t="array" ref="EL56">IF(LEFT($AG56,3)="Res",IF(OR($DO56&gt;External_Threshold,$DE56&gt;0),1*Uplift*AWE*(External),0),0)</f>
        <v>15481.186685962373</v>
      </c>
      <c r="EM56" s="200">
        <f t="shared" si="244"/>
        <v>1</v>
      </c>
      <c r="EN56" s="201">
        <f t="shared" si="741"/>
        <v>0</v>
      </c>
      <c r="EO56" s="203">
        <f t="shared" si="339"/>
        <v>0</v>
      </c>
      <c r="EP56" s="199">
        <f t="shared" ca="1" si="742"/>
        <v>0</v>
      </c>
      <c r="EQ56" s="200">
        <f t="shared" si="247"/>
        <v>0</v>
      </c>
      <c r="ER56" s="201">
        <f t="shared" ca="1" si="743"/>
        <v>0</v>
      </c>
      <c r="ES56" s="200">
        <f t="shared" si="249"/>
        <v>0</v>
      </c>
      <c r="ET56" s="201" cm="1">
        <f t="array" ref="ET56">IF(LEFT($AG56,3)="Res",IF(OR($DP56&gt;External_Threshold,$DF56&gt;0),1*Uplift*AWE*(External),0),0)</f>
        <v>15481.186685962373</v>
      </c>
      <c r="EU56" s="200">
        <f t="shared" si="250"/>
        <v>1</v>
      </c>
      <c r="EV56" s="201">
        <f t="shared" si="744"/>
        <v>0</v>
      </c>
      <c r="EW56" s="203">
        <f t="shared" si="340"/>
        <v>0</v>
      </c>
      <c r="EX56" s="199">
        <f t="shared" ca="1" si="745"/>
        <v>0</v>
      </c>
      <c r="EY56" s="200">
        <f t="shared" si="253"/>
        <v>0</v>
      </c>
      <c r="EZ56" s="201">
        <f t="shared" ca="1" si="746"/>
        <v>0</v>
      </c>
      <c r="FA56" s="200">
        <f t="shared" si="255"/>
        <v>0</v>
      </c>
      <c r="FB56" s="201" cm="1">
        <f t="array" ref="FB56">IF(LEFT($AG56,3)="Res",IF(OR($DQ56&gt;External_Threshold,$DG56&gt;0),1*Uplift*AWE*(External),0),0)</f>
        <v>0</v>
      </c>
      <c r="FC56" s="200">
        <f t="shared" si="256"/>
        <v>1</v>
      </c>
      <c r="FD56" s="201">
        <f t="shared" si="257"/>
        <v>0</v>
      </c>
      <c r="FE56" s="203">
        <f t="shared" si="341"/>
        <v>0</v>
      </c>
      <c r="FF56" s="199">
        <f t="shared" ca="1" si="747"/>
        <v>0</v>
      </c>
      <c r="FG56" s="200">
        <f t="shared" si="259"/>
        <v>0</v>
      </c>
      <c r="FH56" s="201">
        <f t="shared" ca="1" si="748"/>
        <v>0</v>
      </c>
      <c r="FI56" s="200">
        <f t="shared" si="261"/>
        <v>0</v>
      </c>
      <c r="FJ56" s="201" cm="1">
        <f t="array" ref="FJ56">IF(LEFT($AG56,3)="Res",IF(OR($DR56&gt;External_Threshold,$DH56&gt;0),1*Uplift*AWE*(External),0),0)</f>
        <v>0</v>
      </c>
      <c r="FK56" s="200">
        <f t="shared" si="262"/>
        <v>0</v>
      </c>
      <c r="FL56" s="201">
        <f t="shared" si="749"/>
        <v>0</v>
      </c>
      <c r="FM56" s="203">
        <f t="shared" si="342"/>
        <v>0</v>
      </c>
      <c r="FN56" s="199">
        <f t="shared" ca="1" si="750"/>
        <v>0</v>
      </c>
      <c r="FO56" s="200">
        <f t="shared" si="265"/>
        <v>0</v>
      </c>
      <c r="FP56" s="201">
        <f t="shared" ca="1" si="751"/>
        <v>0</v>
      </c>
      <c r="FQ56" s="200">
        <f t="shared" si="267"/>
        <v>0</v>
      </c>
      <c r="FR56" s="201" cm="1">
        <f t="array" ref="FR56">IF(LEFT($AG56,3)="Res",IF(OR($DS56&gt;External_Threshold,$DI56&gt;0),1*Uplift*AWE*(External),0),0)</f>
        <v>0</v>
      </c>
      <c r="FS56" s="200">
        <f t="shared" si="268"/>
        <v>0</v>
      </c>
      <c r="FT56" s="201">
        <f t="shared" si="752"/>
        <v>0</v>
      </c>
      <c r="FU56" s="203">
        <f t="shared" si="343"/>
        <v>0</v>
      </c>
      <c r="FV56" s="199">
        <f t="shared" ca="1" si="753"/>
        <v>0</v>
      </c>
      <c r="FW56" s="200">
        <f t="shared" si="271"/>
        <v>0</v>
      </c>
      <c r="FX56" s="201">
        <f t="shared" ca="1" si="754"/>
        <v>0</v>
      </c>
      <c r="FY56" s="200">
        <f t="shared" si="273"/>
        <v>0</v>
      </c>
      <c r="FZ56" s="201" cm="1">
        <f t="array" ref="FZ56">IF(LEFT($AG56,3)="Res",IF(OR($DT56&gt;External_Threshold,$DJ56&gt;0),1*Uplift*AWE*(External),0),0)</f>
        <v>0</v>
      </c>
      <c r="GA56" s="200">
        <f t="shared" si="274"/>
        <v>0</v>
      </c>
      <c r="GB56" s="201">
        <f t="shared" si="755"/>
        <v>0</v>
      </c>
      <c r="GC56" s="203">
        <f t="shared" si="344"/>
        <v>0</v>
      </c>
      <c r="GD56" s="199">
        <f t="shared" ca="1" si="756"/>
        <v>0</v>
      </c>
      <c r="GE56" s="200">
        <f t="shared" si="277"/>
        <v>0</v>
      </c>
      <c r="GF56" s="201">
        <f t="shared" ca="1" si="757"/>
        <v>0</v>
      </c>
      <c r="GG56" s="200">
        <f t="shared" si="279"/>
        <v>0</v>
      </c>
      <c r="GH56" s="201" cm="1">
        <f t="array" ref="GH56">IF(LEFT($AG56,3)="Res",IF(OR($DU56&gt;External_Threshold,$DK56&gt;0),1*Uplift*AWE*(External),0),0)</f>
        <v>0</v>
      </c>
      <c r="GI56" s="200">
        <f t="shared" si="280"/>
        <v>0</v>
      </c>
      <c r="GJ56" s="201">
        <f t="shared" si="758"/>
        <v>0</v>
      </c>
      <c r="GK56" s="203">
        <f t="shared" si="345"/>
        <v>0</v>
      </c>
      <c r="GL56" s="199">
        <f t="shared" ca="1" si="759"/>
        <v>0</v>
      </c>
      <c r="GM56" s="200">
        <f t="shared" si="283"/>
        <v>0</v>
      </c>
      <c r="GN56" s="201">
        <f t="shared" ca="1" si="760"/>
        <v>0</v>
      </c>
      <c r="GO56" s="200">
        <f t="shared" si="285"/>
        <v>0</v>
      </c>
      <c r="GP56" s="201" cm="1">
        <f t="array" ref="GP56">IF(LEFT($AG56,3)="Res",IF(OR($DV56&gt;External_Threshold,$DL56&gt;0),1*Uplift*AWE*(External),0),0)</f>
        <v>0</v>
      </c>
      <c r="GQ56" s="200">
        <f t="shared" si="286"/>
        <v>0</v>
      </c>
      <c r="GR56" s="201">
        <f t="shared" si="761"/>
        <v>0</v>
      </c>
      <c r="GS56" s="203">
        <f t="shared" si="346"/>
        <v>0</v>
      </c>
      <c r="GT56" s="199">
        <f t="shared" ca="1" si="762"/>
        <v>0</v>
      </c>
      <c r="GU56" s="200">
        <f t="shared" si="289"/>
        <v>0</v>
      </c>
      <c r="GV56" s="201">
        <f t="shared" ca="1" si="763"/>
        <v>0</v>
      </c>
      <c r="GW56" s="200">
        <f t="shared" si="291"/>
        <v>0</v>
      </c>
      <c r="GX56" s="201" cm="1">
        <f t="array" ref="GX56">IF(LEFT($AG56,3)="Res",IF(OR($DW56&gt;External_Threshold,$DM56&gt;0),1*Uplift*AWE*(External),0),0)</f>
        <v>0</v>
      </c>
      <c r="GY56" s="200">
        <f t="shared" si="292"/>
        <v>0</v>
      </c>
      <c r="GZ56" s="201">
        <f t="shared" si="764"/>
        <v>0</v>
      </c>
      <c r="HA56" s="203">
        <f t="shared" si="347"/>
        <v>0</v>
      </c>
      <c r="HB56" s="54"/>
      <c r="HC56" s="54"/>
      <c r="HD56" s="54"/>
      <c r="HE56" s="54"/>
      <c r="HF56" s="54"/>
      <c r="HG56" s="201">
        <f t="shared" ca="1" si="348"/>
        <v>214255.06309123803</v>
      </c>
      <c r="HH56" s="201">
        <f t="shared" ca="1" si="349"/>
        <v>19227.633863965268</v>
      </c>
      <c r="HI56" s="201">
        <f t="shared" ca="1" si="350"/>
        <v>15481.186685962373</v>
      </c>
      <c r="HJ56" s="201">
        <f t="shared" ca="1" si="351"/>
        <v>0</v>
      </c>
      <c r="HK56" s="201">
        <f t="shared" ca="1" si="352"/>
        <v>0</v>
      </c>
      <c r="HL56" s="201">
        <f t="shared" ca="1" si="353"/>
        <v>0</v>
      </c>
      <c r="HM56" s="201">
        <f t="shared" ca="1" si="354"/>
        <v>0</v>
      </c>
      <c r="HN56" s="201">
        <f t="shared" ca="1" si="355"/>
        <v>0</v>
      </c>
      <c r="HO56" s="201">
        <f t="shared" ca="1" si="356"/>
        <v>0</v>
      </c>
      <c r="HP56" s="201">
        <f t="shared" ca="1" si="357"/>
        <v>0</v>
      </c>
      <c r="HQ56" s="54"/>
    </row>
    <row r="57" spans="1:225" x14ac:dyDescent="0.3">
      <c r="A57" s="513">
        <v>39</v>
      </c>
      <c r="B57" s="514" t="s">
        <v>462</v>
      </c>
      <c r="C57" s="514" t="s">
        <v>390</v>
      </c>
      <c r="D57" s="514" t="s">
        <v>390</v>
      </c>
      <c r="E57" s="513">
        <v>1</v>
      </c>
      <c r="F57" s="515">
        <v>6.52</v>
      </c>
      <c r="G57" s="515">
        <v>6.09</v>
      </c>
      <c r="H57" s="513">
        <v>2</v>
      </c>
      <c r="I57" s="517">
        <v>1</v>
      </c>
      <c r="J57" s="518" t="s">
        <v>137</v>
      </c>
      <c r="K57" s="513">
        <f t="shared" si="724"/>
        <v>160</v>
      </c>
      <c r="L57" s="519">
        <v>7.3</v>
      </c>
      <c r="M57" s="519">
        <v>6.5</v>
      </c>
      <c r="N57" s="519">
        <v>6.2</v>
      </c>
      <c r="O57" s="519">
        <v>5.9</v>
      </c>
      <c r="P57" s="519">
        <v>5.45</v>
      </c>
      <c r="Q57" s="519">
        <v>4.97</v>
      </c>
      <c r="R57" s="519">
        <v>4.17</v>
      </c>
      <c r="S57" s="519">
        <v>0</v>
      </c>
      <c r="T57" s="519">
        <v>0</v>
      </c>
      <c r="U57" s="519">
        <v>0</v>
      </c>
      <c r="V57" s="536"/>
      <c r="W57" s="536"/>
      <c r="X57" s="536"/>
      <c r="Y57" s="536"/>
      <c r="Z57" s="536"/>
      <c r="AA57" s="536"/>
      <c r="AB57" s="536"/>
      <c r="AC57" s="536"/>
      <c r="AD57" s="536"/>
      <c r="AE57" s="536"/>
      <c r="AF57" s="54"/>
      <c r="AG57" s="204" t="str">
        <f t="shared" si="465"/>
        <v>Res1</v>
      </c>
      <c r="AH57" s="204">
        <f t="shared" si="294"/>
        <v>7</v>
      </c>
      <c r="AI57" s="204">
        <f t="shared" si="725"/>
        <v>1</v>
      </c>
      <c r="AJ57" s="54"/>
      <c r="AK57" s="74">
        <f>IFERROR(IF(H57&gt;4,0,AI57*Inputs!$C$55),0)</f>
        <v>2.6</v>
      </c>
      <c r="AL57" s="81">
        <f>IFERROR(Inputs!$C$73,0)</f>
        <v>5</v>
      </c>
      <c r="AM57" s="211">
        <f>IFERROR(Inputs!$C$74,0)</f>
        <v>0.24299999999999999</v>
      </c>
      <c r="AN57" s="446">
        <f>IFERROR(HLOOKUP(HLOOKUP(AN$17,$V$18:$AE57,COUNTA($AK$18:$AK57),FALSE),Inputs!$B$58:$H$59,2,FALSE),0)</f>
        <v>0</v>
      </c>
      <c r="AO57" s="447">
        <f t="shared" si="295"/>
        <v>0</v>
      </c>
      <c r="AP57" s="447">
        <f t="shared" si="296"/>
        <v>0</v>
      </c>
      <c r="AQ57" s="446">
        <f>IFERROR(HLOOKUP(HLOOKUP(AQ$17,$V$18:$AE57,COUNTA($AK$18:$AK57),FALSE),Inputs!$B$58:$H$59,2,FALSE),0)</f>
        <v>0</v>
      </c>
      <c r="AR57" s="447">
        <f t="shared" ref="AR57" si="810">2*$AK57*AQ57*$AL57/100*$AM57</f>
        <v>0</v>
      </c>
      <c r="AS57" s="447">
        <f t="shared" si="298"/>
        <v>0</v>
      </c>
      <c r="AT57" s="446">
        <f>IFERROR(HLOOKUP(HLOOKUP(AT$17,$V$18:$AE57,COUNTA($AK$18:$AK57),FALSE),Inputs!$B$58:$H$59,2,FALSE),0)</f>
        <v>0</v>
      </c>
      <c r="AU57" s="447">
        <f t="shared" ref="AU57" si="811">2*$AK57*AT57*$AL57/100*$AM57</f>
        <v>0</v>
      </c>
      <c r="AV57" s="447">
        <f t="shared" si="300"/>
        <v>0</v>
      </c>
      <c r="AW57" s="446">
        <f>IFERROR(HLOOKUP(HLOOKUP(AW$17,$V$18:$AE57,COUNTA($AK$18:$AK57),FALSE),Inputs!$B$58:$H$59,2,FALSE),0)</f>
        <v>0</v>
      </c>
      <c r="AX57" s="447">
        <f t="shared" ref="AX57" si="812">2*$AK57*AW57*$AL57/100*$AM57</f>
        <v>0</v>
      </c>
      <c r="AY57" s="447">
        <f t="shared" si="302"/>
        <v>0</v>
      </c>
      <c r="AZ57" s="446">
        <f>IFERROR(HLOOKUP(HLOOKUP(AZ$17,$V$18:$AE57,COUNTA($AK$18:$AK57),FALSE),Inputs!$B$58:$H$59,2,FALSE),0)</f>
        <v>0</v>
      </c>
      <c r="BA57" s="447">
        <f t="shared" ref="BA57" si="813">2*$AK57*AZ57*$AL57/100*$AM57</f>
        <v>0</v>
      </c>
      <c r="BB57" s="447">
        <f t="shared" si="304"/>
        <v>0</v>
      </c>
      <c r="BC57" s="446">
        <f>IFERROR(HLOOKUP(HLOOKUP(BC$17,$V$18:$AE57,COUNTA($AK$18:$AK57),FALSE),Inputs!$B$58:$H$59,2,FALSE),0)</f>
        <v>0</v>
      </c>
      <c r="BD57" s="447">
        <f t="shared" ref="BD57" si="814">2*$AK57*BC57*$AL57/100*$AM57</f>
        <v>0</v>
      </c>
      <c r="BE57" s="447">
        <f t="shared" si="306"/>
        <v>0</v>
      </c>
      <c r="BF57" s="446">
        <f>IFERROR(HLOOKUP(HLOOKUP(BF$17,$V$18:$AE57,COUNTA($AK$18:$AK57),FALSE),Inputs!$B$58:$H$59,2,FALSE),0)</f>
        <v>0</v>
      </c>
      <c r="BG57" s="447">
        <f t="shared" ref="BG57" si="815">2*$AK57*BF57*$AL57/100*$AM57</f>
        <v>0</v>
      </c>
      <c r="BH57" s="447">
        <f t="shared" si="308"/>
        <v>0</v>
      </c>
      <c r="BI57" s="446">
        <f>IFERROR(HLOOKUP(HLOOKUP(BI$17,$V$18:$AE57,COUNTA($AK$18:$AK57),FALSE),Inputs!$B$58:$H$59,2,FALSE),0)</f>
        <v>0</v>
      </c>
      <c r="BJ57" s="447">
        <f t="shared" ref="BJ57" si="816">2*$AK57*BI57*$AL57/100*$AM57</f>
        <v>0</v>
      </c>
      <c r="BK57" s="447">
        <f t="shared" si="310"/>
        <v>0</v>
      </c>
      <c r="BL57" s="446">
        <f>IFERROR(HLOOKUP(HLOOKUP(BL$17,$V$18:$AE57,COUNTA($AK$18:$AK57),FALSE),Inputs!$B$58:$H$59,2,FALSE),0)</f>
        <v>0</v>
      </c>
      <c r="BM57" s="447">
        <f t="shared" ref="BM57" si="817">2*$AK57*BL57*$AL57/100*$AM57</f>
        <v>0</v>
      </c>
      <c r="BN57" s="447">
        <f t="shared" si="312"/>
        <v>0</v>
      </c>
      <c r="BO57" s="446">
        <f>IFERROR(HLOOKUP(HLOOKUP(BO$17,$V$18:$AE57,COUNTA($AK$18:$AK57),FALSE),Inputs!$B$58:$H$59,2,FALSE),0)</f>
        <v>0</v>
      </c>
      <c r="BP57" s="447">
        <f t="shared" ref="BP57" si="818">2*$AK57*BO57*$AL57/100*$AM57</f>
        <v>0</v>
      </c>
      <c r="BQ57" s="447">
        <f t="shared" si="314"/>
        <v>0</v>
      </c>
      <c r="BR57" s="54"/>
      <c r="BS57" s="103">
        <f t="shared" ca="1" si="735"/>
        <v>122.13417800289437</v>
      </c>
      <c r="BT57" s="103">
        <f t="shared" ca="1" si="396"/>
        <v>87.966773767955416</v>
      </c>
      <c r="BU57" s="103">
        <f t="shared" si="397"/>
        <v>54.02934153400868</v>
      </c>
      <c r="BV57" s="103">
        <f t="shared" si="398"/>
        <v>0</v>
      </c>
      <c r="BW57" s="152">
        <f t="shared" ca="1" si="399"/>
        <v>264.13029330485847</v>
      </c>
      <c r="BX57" s="441"/>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188">
        <f t="shared" si="315"/>
        <v>0.78000000000000025</v>
      </c>
      <c r="DE57" s="188">
        <f t="shared" si="316"/>
        <v>-1.9999999999999574E-2</v>
      </c>
      <c r="DF57" s="188">
        <f t="shared" si="317"/>
        <v>-0.3</v>
      </c>
      <c r="DG57" s="188">
        <f t="shared" si="318"/>
        <v>-0.3</v>
      </c>
      <c r="DH57" s="188">
        <f t="shared" si="319"/>
        <v>-0.3</v>
      </c>
      <c r="DI57" s="188">
        <f t="shared" si="320"/>
        <v>-0.3</v>
      </c>
      <c r="DJ57" s="188">
        <f t="shared" si="321"/>
        <v>-0.3</v>
      </c>
      <c r="DK57" s="188">
        <f t="shared" si="322"/>
        <v>-0.3</v>
      </c>
      <c r="DL57" s="188">
        <f t="shared" si="323"/>
        <v>-0.3</v>
      </c>
      <c r="DM57" s="188">
        <f t="shared" si="324"/>
        <v>-0.3</v>
      </c>
      <c r="DN57" s="189">
        <f t="shared" si="325"/>
        <v>1.21</v>
      </c>
      <c r="DO57" s="189">
        <f t="shared" si="326"/>
        <v>0.41000000000000014</v>
      </c>
      <c r="DP57" s="189">
        <f t="shared" si="327"/>
        <v>0.11000000000000032</v>
      </c>
      <c r="DQ57" s="189">
        <f t="shared" si="328"/>
        <v>0</v>
      </c>
      <c r="DR57" s="189">
        <f t="shared" si="329"/>
        <v>0</v>
      </c>
      <c r="DS57" s="189">
        <f t="shared" si="330"/>
        <v>0</v>
      </c>
      <c r="DT57" s="189">
        <f t="shared" si="331"/>
        <v>0</v>
      </c>
      <c r="DU57" s="189">
        <f t="shared" si="332"/>
        <v>0</v>
      </c>
      <c r="DV57" s="189">
        <f t="shared" si="333"/>
        <v>0</v>
      </c>
      <c r="DW57" s="189">
        <f t="shared" si="334"/>
        <v>0</v>
      </c>
      <c r="DX57" s="54"/>
      <c r="DY57" s="54"/>
      <c r="DZ57" s="199">
        <f t="shared" ca="1" si="736"/>
        <v>105524.92884708154</v>
      </c>
      <c r="EA57" s="200">
        <f t="shared" si="335"/>
        <v>1</v>
      </c>
      <c r="EB57" s="201">
        <f t="shared" ca="1" si="737"/>
        <v>88408.817857241622</v>
      </c>
      <c r="EC57" s="200">
        <f t="shared" si="336"/>
        <v>1</v>
      </c>
      <c r="ED57" s="201" cm="1">
        <f t="array" ref="ED57">IF(LEFT($AG57,3)="Res",IF(OR($DN57&gt;External_Threshold,$DD57&gt;0),1*Uplift*AWE*(External),0),0)</f>
        <v>15481.186685962373</v>
      </c>
      <c r="EE57" s="200">
        <f t="shared" si="337"/>
        <v>1</v>
      </c>
      <c r="EF57" s="201">
        <f t="shared" si="738"/>
        <v>0</v>
      </c>
      <c r="EG57" s="203">
        <f t="shared" si="338"/>
        <v>0</v>
      </c>
      <c r="EH57" s="199">
        <f t="shared" ca="1" si="739"/>
        <v>6868.4864930053063</v>
      </c>
      <c r="EI57" s="200">
        <f t="shared" si="241"/>
        <v>0</v>
      </c>
      <c r="EJ57" s="201">
        <f t="shared" ca="1" si="740"/>
        <v>0</v>
      </c>
      <c r="EK57" s="200">
        <f t="shared" si="243"/>
        <v>0</v>
      </c>
      <c r="EL57" s="201" cm="1">
        <f t="array" ref="EL57">IF(LEFT($AG57,3)="Res",IF(OR($DO57&gt;External_Threshold,$DE57&gt;0),1*Uplift*AWE*(External),0),0)</f>
        <v>15481.186685962373</v>
      </c>
      <c r="EM57" s="200">
        <f t="shared" si="244"/>
        <v>1</v>
      </c>
      <c r="EN57" s="201">
        <f t="shared" si="741"/>
        <v>0</v>
      </c>
      <c r="EO57" s="203">
        <f t="shared" si="339"/>
        <v>0</v>
      </c>
      <c r="EP57" s="199">
        <f t="shared" ca="1" si="742"/>
        <v>0</v>
      </c>
      <c r="EQ57" s="200">
        <f t="shared" si="247"/>
        <v>0</v>
      </c>
      <c r="ER57" s="201">
        <f t="shared" ca="1" si="743"/>
        <v>0</v>
      </c>
      <c r="ES57" s="200">
        <f t="shared" si="249"/>
        <v>0</v>
      </c>
      <c r="ET57" s="201" cm="1">
        <f t="array" ref="ET57">IF(LEFT($AG57,3)="Res",IF(OR($DP57&gt;External_Threshold,$DF57&gt;0),1*Uplift*AWE*(External),0),0)</f>
        <v>0</v>
      </c>
      <c r="EU57" s="200">
        <f t="shared" si="250"/>
        <v>1</v>
      </c>
      <c r="EV57" s="201">
        <f t="shared" si="744"/>
        <v>0</v>
      </c>
      <c r="EW57" s="203">
        <f t="shared" si="340"/>
        <v>0</v>
      </c>
      <c r="EX57" s="199">
        <f t="shared" ca="1" si="745"/>
        <v>0</v>
      </c>
      <c r="EY57" s="200">
        <f t="shared" si="253"/>
        <v>0</v>
      </c>
      <c r="EZ57" s="201">
        <f t="shared" ca="1" si="746"/>
        <v>0</v>
      </c>
      <c r="FA57" s="200">
        <f t="shared" si="255"/>
        <v>0</v>
      </c>
      <c r="FB57" s="201" cm="1">
        <f t="array" ref="FB57">IF(LEFT($AG57,3)="Res",IF(OR($DQ57&gt;External_Threshold,$DG57&gt;0),1*Uplift*AWE*(External),0),0)</f>
        <v>0</v>
      </c>
      <c r="FC57" s="200">
        <f t="shared" si="256"/>
        <v>0</v>
      </c>
      <c r="FD57" s="201">
        <f t="shared" si="257"/>
        <v>0</v>
      </c>
      <c r="FE57" s="203">
        <f t="shared" si="341"/>
        <v>0</v>
      </c>
      <c r="FF57" s="199">
        <f t="shared" ca="1" si="747"/>
        <v>0</v>
      </c>
      <c r="FG57" s="200">
        <f t="shared" si="259"/>
        <v>0</v>
      </c>
      <c r="FH57" s="201">
        <f t="shared" ca="1" si="748"/>
        <v>0</v>
      </c>
      <c r="FI57" s="200">
        <f t="shared" si="261"/>
        <v>0</v>
      </c>
      <c r="FJ57" s="201" cm="1">
        <f t="array" ref="FJ57">IF(LEFT($AG57,3)="Res",IF(OR($DR57&gt;External_Threshold,$DH57&gt;0),1*Uplift*AWE*(External),0),0)</f>
        <v>0</v>
      </c>
      <c r="FK57" s="200">
        <f t="shared" si="262"/>
        <v>0</v>
      </c>
      <c r="FL57" s="201">
        <f t="shared" si="749"/>
        <v>0</v>
      </c>
      <c r="FM57" s="203">
        <f t="shared" si="342"/>
        <v>0</v>
      </c>
      <c r="FN57" s="199">
        <f t="shared" ca="1" si="750"/>
        <v>0</v>
      </c>
      <c r="FO57" s="200">
        <f t="shared" si="265"/>
        <v>0</v>
      </c>
      <c r="FP57" s="201">
        <f t="shared" ca="1" si="751"/>
        <v>0</v>
      </c>
      <c r="FQ57" s="200">
        <f t="shared" si="267"/>
        <v>0</v>
      </c>
      <c r="FR57" s="201" cm="1">
        <f t="array" ref="FR57">IF(LEFT($AG57,3)="Res",IF(OR($DS57&gt;External_Threshold,$DI57&gt;0),1*Uplift*AWE*(External),0),0)</f>
        <v>0</v>
      </c>
      <c r="FS57" s="200">
        <f t="shared" si="268"/>
        <v>0</v>
      </c>
      <c r="FT57" s="201">
        <f t="shared" si="752"/>
        <v>0</v>
      </c>
      <c r="FU57" s="203">
        <f t="shared" si="343"/>
        <v>0</v>
      </c>
      <c r="FV57" s="199">
        <f t="shared" ca="1" si="753"/>
        <v>0</v>
      </c>
      <c r="FW57" s="200">
        <f t="shared" si="271"/>
        <v>0</v>
      </c>
      <c r="FX57" s="201">
        <f t="shared" ca="1" si="754"/>
        <v>0</v>
      </c>
      <c r="FY57" s="200">
        <f t="shared" si="273"/>
        <v>0</v>
      </c>
      <c r="FZ57" s="201" cm="1">
        <f t="array" ref="FZ57">IF(LEFT($AG57,3)="Res",IF(OR($DT57&gt;External_Threshold,$DJ57&gt;0),1*Uplift*AWE*(External),0),0)</f>
        <v>0</v>
      </c>
      <c r="GA57" s="200">
        <f t="shared" si="274"/>
        <v>0</v>
      </c>
      <c r="GB57" s="201">
        <f t="shared" si="755"/>
        <v>0</v>
      </c>
      <c r="GC57" s="203">
        <f t="shared" si="344"/>
        <v>0</v>
      </c>
      <c r="GD57" s="199">
        <f t="shared" ca="1" si="756"/>
        <v>0</v>
      </c>
      <c r="GE57" s="200">
        <f t="shared" si="277"/>
        <v>0</v>
      </c>
      <c r="GF57" s="201">
        <f t="shared" ca="1" si="757"/>
        <v>0</v>
      </c>
      <c r="GG57" s="200">
        <f t="shared" si="279"/>
        <v>0</v>
      </c>
      <c r="GH57" s="201" cm="1">
        <f t="array" ref="GH57">IF(LEFT($AG57,3)="Res",IF(OR($DU57&gt;External_Threshold,$DK57&gt;0),1*Uplift*AWE*(External),0),0)</f>
        <v>0</v>
      </c>
      <c r="GI57" s="200">
        <f t="shared" si="280"/>
        <v>0</v>
      </c>
      <c r="GJ57" s="201">
        <f t="shared" si="758"/>
        <v>0</v>
      </c>
      <c r="GK57" s="203">
        <f t="shared" si="345"/>
        <v>0</v>
      </c>
      <c r="GL57" s="199">
        <f t="shared" ca="1" si="759"/>
        <v>0</v>
      </c>
      <c r="GM57" s="200">
        <f t="shared" si="283"/>
        <v>0</v>
      </c>
      <c r="GN57" s="201">
        <f t="shared" ca="1" si="760"/>
        <v>0</v>
      </c>
      <c r="GO57" s="200">
        <f t="shared" si="285"/>
        <v>0</v>
      </c>
      <c r="GP57" s="201" cm="1">
        <f t="array" ref="GP57">IF(LEFT($AG57,3)="Res",IF(OR($DV57&gt;External_Threshold,$DL57&gt;0),1*Uplift*AWE*(External),0),0)</f>
        <v>0</v>
      </c>
      <c r="GQ57" s="200">
        <f t="shared" si="286"/>
        <v>0</v>
      </c>
      <c r="GR57" s="201">
        <f t="shared" si="761"/>
        <v>0</v>
      </c>
      <c r="GS57" s="203">
        <f t="shared" si="346"/>
        <v>0</v>
      </c>
      <c r="GT57" s="199">
        <f t="shared" ca="1" si="762"/>
        <v>0</v>
      </c>
      <c r="GU57" s="200">
        <f t="shared" si="289"/>
        <v>0</v>
      </c>
      <c r="GV57" s="201">
        <f t="shared" ca="1" si="763"/>
        <v>0</v>
      </c>
      <c r="GW57" s="200">
        <f t="shared" si="291"/>
        <v>0</v>
      </c>
      <c r="GX57" s="201" cm="1">
        <f t="array" ref="GX57">IF(LEFT($AG57,3)="Res",IF(OR($DW57&gt;External_Threshold,$DM57&gt;0),1*Uplift*AWE*(External),0),0)</f>
        <v>0</v>
      </c>
      <c r="GY57" s="200">
        <f t="shared" si="292"/>
        <v>0</v>
      </c>
      <c r="GZ57" s="201">
        <f t="shared" si="764"/>
        <v>0</v>
      </c>
      <c r="HA57" s="203">
        <f t="shared" si="347"/>
        <v>0</v>
      </c>
      <c r="HB57" s="54"/>
      <c r="HC57" s="54"/>
      <c r="HD57" s="54"/>
      <c r="HE57" s="54"/>
      <c r="HF57" s="54"/>
      <c r="HG57" s="201">
        <f t="shared" ca="1" si="348"/>
        <v>209414.93339028553</v>
      </c>
      <c r="HH57" s="201">
        <f t="shared" ca="1" si="349"/>
        <v>22349.673178967678</v>
      </c>
      <c r="HI57" s="201">
        <f t="shared" ca="1" si="350"/>
        <v>0</v>
      </c>
      <c r="HJ57" s="201">
        <f t="shared" ca="1" si="351"/>
        <v>0</v>
      </c>
      <c r="HK57" s="201">
        <f t="shared" ca="1" si="352"/>
        <v>0</v>
      </c>
      <c r="HL57" s="201">
        <f t="shared" ca="1" si="353"/>
        <v>0</v>
      </c>
      <c r="HM57" s="201">
        <f t="shared" ca="1" si="354"/>
        <v>0</v>
      </c>
      <c r="HN57" s="201">
        <f t="shared" ca="1" si="355"/>
        <v>0</v>
      </c>
      <c r="HO57" s="201">
        <f t="shared" ca="1" si="356"/>
        <v>0</v>
      </c>
      <c r="HP57" s="201">
        <f t="shared" ca="1" si="357"/>
        <v>0</v>
      </c>
      <c r="HQ57" s="54"/>
    </row>
    <row r="58" spans="1:225" x14ac:dyDescent="0.3">
      <c r="A58" s="513">
        <v>40</v>
      </c>
      <c r="B58" s="514" t="s">
        <v>463</v>
      </c>
      <c r="C58" s="514" t="s">
        <v>390</v>
      </c>
      <c r="D58" s="514" t="s">
        <v>390</v>
      </c>
      <c r="E58" s="513">
        <v>1</v>
      </c>
      <c r="F58" s="515">
        <v>4.18</v>
      </c>
      <c r="G58" s="515">
        <v>3.63</v>
      </c>
      <c r="H58" s="513">
        <v>1</v>
      </c>
      <c r="I58" s="517">
        <v>1</v>
      </c>
      <c r="J58" s="518" t="s">
        <v>42</v>
      </c>
      <c r="K58" s="513">
        <f t="shared" si="724"/>
        <v>90</v>
      </c>
      <c r="L58" s="519">
        <v>7.3</v>
      </c>
      <c r="M58" s="519">
        <v>6.5</v>
      </c>
      <c r="N58" s="519">
        <v>6.2</v>
      </c>
      <c r="O58" s="519">
        <v>5.9</v>
      </c>
      <c r="P58" s="519">
        <v>5.45</v>
      </c>
      <c r="Q58" s="519">
        <v>4.97</v>
      </c>
      <c r="R58" s="519">
        <v>4.17</v>
      </c>
      <c r="S58" s="519">
        <v>0</v>
      </c>
      <c r="T58" s="519">
        <v>0</v>
      </c>
      <c r="U58" s="519">
        <v>0</v>
      </c>
      <c r="V58" s="536"/>
      <c r="W58" s="536"/>
      <c r="X58" s="536"/>
      <c r="Y58" s="536"/>
      <c r="Z58" s="536"/>
      <c r="AA58" s="536"/>
      <c r="AB58" s="536"/>
      <c r="AC58" s="536"/>
      <c r="AD58" s="536"/>
      <c r="AE58" s="536"/>
      <c r="AF58" s="54"/>
      <c r="AG58" s="204" t="str">
        <f t="shared" si="465"/>
        <v>Res1</v>
      </c>
      <c r="AH58" s="204">
        <f t="shared" si="294"/>
        <v>4</v>
      </c>
      <c r="AI58" s="204">
        <f t="shared" si="725"/>
        <v>1</v>
      </c>
      <c r="AJ58" s="54"/>
      <c r="AK58" s="74">
        <f>IFERROR(IF(H58&gt;4,0,AI58*Inputs!$C$55),0)</f>
        <v>2.6</v>
      </c>
      <c r="AL58" s="81">
        <f>IFERROR(Inputs!$C$73,0)</f>
        <v>5</v>
      </c>
      <c r="AM58" s="211">
        <f>IFERROR(Inputs!$C$74,0)</f>
        <v>0.24299999999999999</v>
      </c>
      <c r="AN58" s="446">
        <f>IFERROR(HLOOKUP(HLOOKUP(AN$17,$V$18:$AE58,COUNTA($AK$18:$AK58),FALSE),Inputs!$B$58:$H$59,2,FALSE),0)</f>
        <v>0</v>
      </c>
      <c r="AO58" s="447">
        <f t="shared" si="295"/>
        <v>0</v>
      </c>
      <c r="AP58" s="447">
        <f t="shared" si="296"/>
        <v>0</v>
      </c>
      <c r="AQ58" s="446">
        <f>IFERROR(HLOOKUP(HLOOKUP(AQ$17,$V$18:$AE58,COUNTA($AK$18:$AK58),FALSE),Inputs!$B$58:$H$59,2,FALSE),0)</f>
        <v>0</v>
      </c>
      <c r="AR58" s="447">
        <f t="shared" ref="AR58" si="819">2*$AK58*AQ58*$AL58/100*$AM58</f>
        <v>0</v>
      </c>
      <c r="AS58" s="447">
        <f t="shared" si="298"/>
        <v>0</v>
      </c>
      <c r="AT58" s="446">
        <f>IFERROR(HLOOKUP(HLOOKUP(AT$17,$V$18:$AE58,COUNTA($AK$18:$AK58),FALSE),Inputs!$B$58:$H$59,2,FALSE),0)</f>
        <v>0</v>
      </c>
      <c r="AU58" s="447">
        <f t="shared" ref="AU58" si="820">2*$AK58*AT58*$AL58/100*$AM58</f>
        <v>0</v>
      </c>
      <c r="AV58" s="447">
        <f t="shared" si="300"/>
        <v>0</v>
      </c>
      <c r="AW58" s="446">
        <f>IFERROR(HLOOKUP(HLOOKUP(AW$17,$V$18:$AE58,COUNTA($AK$18:$AK58),FALSE),Inputs!$B$58:$H$59,2,FALSE),0)</f>
        <v>0</v>
      </c>
      <c r="AX58" s="447">
        <f t="shared" ref="AX58" si="821">2*$AK58*AW58*$AL58/100*$AM58</f>
        <v>0</v>
      </c>
      <c r="AY58" s="447">
        <f t="shared" si="302"/>
        <v>0</v>
      </c>
      <c r="AZ58" s="446">
        <f>IFERROR(HLOOKUP(HLOOKUP(AZ$17,$V$18:$AE58,COUNTA($AK$18:$AK58),FALSE),Inputs!$B$58:$H$59,2,FALSE),0)</f>
        <v>0</v>
      </c>
      <c r="BA58" s="447">
        <f t="shared" ref="BA58" si="822">2*$AK58*AZ58*$AL58/100*$AM58</f>
        <v>0</v>
      </c>
      <c r="BB58" s="447">
        <f t="shared" si="304"/>
        <v>0</v>
      </c>
      <c r="BC58" s="446">
        <f>IFERROR(HLOOKUP(HLOOKUP(BC$17,$V$18:$AE58,COUNTA($AK$18:$AK58),FALSE),Inputs!$B$58:$H$59,2,FALSE),0)</f>
        <v>0</v>
      </c>
      <c r="BD58" s="447">
        <f t="shared" ref="BD58" si="823">2*$AK58*BC58*$AL58/100*$AM58</f>
        <v>0</v>
      </c>
      <c r="BE58" s="447">
        <f t="shared" si="306"/>
        <v>0</v>
      </c>
      <c r="BF58" s="446">
        <f>IFERROR(HLOOKUP(HLOOKUP(BF$17,$V$18:$AE58,COUNTA($AK$18:$AK58),FALSE),Inputs!$B$58:$H$59,2,FALSE),0)</f>
        <v>0</v>
      </c>
      <c r="BG58" s="447">
        <f t="shared" ref="BG58" si="824">2*$AK58*BF58*$AL58/100*$AM58</f>
        <v>0</v>
      </c>
      <c r="BH58" s="447">
        <f t="shared" si="308"/>
        <v>0</v>
      </c>
      <c r="BI58" s="446">
        <f>IFERROR(HLOOKUP(HLOOKUP(BI$17,$V$18:$AE58,COUNTA($AK$18:$AK58),FALSE),Inputs!$B$58:$H$59,2,FALSE),0)</f>
        <v>0</v>
      </c>
      <c r="BJ58" s="447">
        <f t="shared" ref="BJ58" si="825">2*$AK58*BI58*$AL58/100*$AM58</f>
        <v>0</v>
      </c>
      <c r="BK58" s="447">
        <f t="shared" si="310"/>
        <v>0</v>
      </c>
      <c r="BL58" s="446">
        <f>IFERROR(HLOOKUP(HLOOKUP(BL$17,$V$18:$AE58,COUNTA($AK$18:$AK58),FALSE),Inputs!$B$58:$H$59,2,FALSE),0)</f>
        <v>0</v>
      </c>
      <c r="BM58" s="447">
        <f t="shared" ref="BM58" si="826">2*$AK58*BL58*$AL58/100*$AM58</f>
        <v>0</v>
      </c>
      <c r="BN58" s="447">
        <f t="shared" si="312"/>
        <v>0</v>
      </c>
      <c r="BO58" s="446">
        <f>IFERROR(HLOOKUP(HLOOKUP(BO$17,$V$18:$AE58,COUNTA($AK$18:$AK58),FALSE),Inputs!$B$58:$H$59,2,FALSE),0)</f>
        <v>0</v>
      </c>
      <c r="BP58" s="447">
        <f t="shared" ref="BP58" si="827">2*$AK58*BO58*$AL58/100*$AM58</f>
        <v>0</v>
      </c>
      <c r="BQ58" s="447">
        <f t="shared" si="314"/>
        <v>0</v>
      </c>
      <c r="BR58" s="54"/>
      <c r="BS58" s="103">
        <f t="shared" ca="1" si="735"/>
        <v>3833.9400876139662</v>
      </c>
      <c r="BT58" s="103">
        <f t="shared" ca="1" si="396"/>
        <v>3647.966637967831</v>
      </c>
      <c r="BU58" s="103">
        <f t="shared" si="397"/>
        <v>2322.023191027497</v>
      </c>
      <c r="BV58" s="103">
        <f t="shared" si="398"/>
        <v>0</v>
      </c>
      <c r="BW58" s="152">
        <f t="shared" ca="1" si="399"/>
        <v>9803.9299166092933</v>
      </c>
      <c r="BX58" s="441"/>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188">
        <f t="shared" si="315"/>
        <v>3.12</v>
      </c>
      <c r="DE58" s="188">
        <f t="shared" si="316"/>
        <v>2.3200000000000003</v>
      </c>
      <c r="DF58" s="188">
        <f t="shared" si="317"/>
        <v>2.0200000000000005</v>
      </c>
      <c r="DG58" s="188">
        <f t="shared" si="318"/>
        <v>1.7200000000000006</v>
      </c>
      <c r="DH58" s="188">
        <f t="shared" si="319"/>
        <v>1.2700000000000005</v>
      </c>
      <c r="DI58" s="188">
        <f t="shared" si="320"/>
        <v>0.79</v>
      </c>
      <c r="DJ58" s="188">
        <f t="shared" si="321"/>
        <v>-9.9999999999997868E-3</v>
      </c>
      <c r="DK58" s="188">
        <f t="shared" si="322"/>
        <v>-0.3</v>
      </c>
      <c r="DL58" s="188">
        <f t="shared" si="323"/>
        <v>-0.3</v>
      </c>
      <c r="DM58" s="188">
        <f t="shared" si="324"/>
        <v>-0.3</v>
      </c>
      <c r="DN58" s="189">
        <f t="shared" si="325"/>
        <v>3.67</v>
      </c>
      <c r="DO58" s="189">
        <f t="shared" si="326"/>
        <v>2.87</v>
      </c>
      <c r="DP58" s="189">
        <f t="shared" si="327"/>
        <v>2.5700000000000003</v>
      </c>
      <c r="DQ58" s="189">
        <f t="shared" si="328"/>
        <v>2.2700000000000005</v>
      </c>
      <c r="DR58" s="189">
        <f t="shared" si="329"/>
        <v>1.8200000000000003</v>
      </c>
      <c r="DS58" s="189">
        <f t="shared" si="330"/>
        <v>1.3399999999999999</v>
      </c>
      <c r="DT58" s="189">
        <f t="shared" si="331"/>
        <v>0.54</v>
      </c>
      <c r="DU58" s="189">
        <f t="shared" si="332"/>
        <v>0</v>
      </c>
      <c r="DV58" s="189">
        <f t="shared" si="333"/>
        <v>0</v>
      </c>
      <c r="DW58" s="189">
        <f t="shared" si="334"/>
        <v>0</v>
      </c>
      <c r="DX58" s="54"/>
      <c r="DY58" s="54"/>
      <c r="DZ58" s="199">
        <f t="shared" ca="1" si="736"/>
        <v>78505.097684515204</v>
      </c>
      <c r="EA58" s="200">
        <f t="shared" si="335"/>
        <v>1</v>
      </c>
      <c r="EB58" s="201">
        <f t="shared" ca="1" si="737"/>
        <v>58677.283708671122</v>
      </c>
      <c r="EC58" s="200">
        <f t="shared" si="336"/>
        <v>1</v>
      </c>
      <c r="ED58" s="201" cm="1">
        <f t="array" ref="ED58">IF(LEFT($AG58,3)="Res",IF(OR($DN58&gt;External_Threshold,$DD58&gt;0),1*Uplift*AWE*(External),0),0)</f>
        <v>15481.186685962373</v>
      </c>
      <c r="EE58" s="200">
        <f t="shared" si="337"/>
        <v>1</v>
      </c>
      <c r="EF58" s="201">
        <f t="shared" si="738"/>
        <v>0</v>
      </c>
      <c r="EG58" s="203">
        <f t="shared" si="338"/>
        <v>0</v>
      </c>
      <c r="EH58" s="199">
        <f t="shared" ca="1" si="739"/>
        <v>65273.327424023148</v>
      </c>
      <c r="EI58" s="200">
        <f t="shared" si="241"/>
        <v>1</v>
      </c>
      <c r="EJ58" s="201">
        <f t="shared" ca="1" si="740"/>
        <v>58257.368533419234</v>
      </c>
      <c r="EK58" s="200">
        <f t="shared" si="243"/>
        <v>1</v>
      </c>
      <c r="EL58" s="201" cm="1">
        <f t="array" ref="EL58">IF(LEFT($AG58,3)="Res",IF(OR($DO58&gt;External_Threshold,$DE58&gt;0),1*Uplift*AWE*(External),0),0)</f>
        <v>15481.186685962373</v>
      </c>
      <c r="EM58" s="200">
        <f t="shared" si="244"/>
        <v>1</v>
      </c>
      <c r="EN58" s="201">
        <f t="shared" si="741"/>
        <v>0</v>
      </c>
      <c r="EO58" s="203">
        <f t="shared" si="339"/>
        <v>0</v>
      </c>
      <c r="EP58" s="199">
        <f t="shared" ca="1" si="742"/>
        <v>57814.491678726488</v>
      </c>
      <c r="EQ58" s="200">
        <f t="shared" si="247"/>
        <v>1</v>
      </c>
      <c r="ER58" s="201">
        <f t="shared" ca="1" si="743"/>
        <v>57627.495770541376</v>
      </c>
      <c r="ES58" s="200">
        <f t="shared" si="249"/>
        <v>1</v>
      </c>
      <c r="ET58" s="201" cm="1">
        <f t="array" ref="ET58">IF(LEFT($AG58,3)="Res",IF(OR($DP58&gt;External_Threshold,$DF58&gt;0),1*Uplift*AWE*(External),0),0)</f>
        <v>15481.186685962373</v>
      </c>
      <c r="EU58" s="200">
        <f t="shared" si="250"/>
        <v>1</v>
      </c>
      <c r="EV58" s="201">
        <f t="shared" si="744"/>
        <v>0</v>
      </c>
      <c r="EW58" s="203">
        <f t="shared" si="340"/>
        <v>0</v>
      </c>
      <c r="EX58" s="199">
        <f t="shared" ca="1" si="745"/>
        <v>56384.030028943569</v>
      </c>
      <c r="EY58" s="200">
        <f t="shared" si="253"/>
        <v>1</v>
      </c>
      <c r="EZ58" s="201">
        <f t="shared" ca="1" si="746"/>
        <v>56763.413453130866</v>
      </c>
      <c r="FA58" s="200">
        <f t="shared" si="255"/>
        <v>1</v>
      </c>
      <c r="FB58" s="201" cm="1">
        <f t="array" ref="FB58">IF(LEFT($AG58,3)="Res",IF(OR($DQ58&gt;External_Threshold,$DG58&gt;0),1*Uplift*AWE*(External),0),0)</f>
        <v>15481.186685962373</v>
      </c>
      <c r="FC58" s="200">
        <f t="shared" si="256"/>
        <v>1</v>
      </c>
      <c r="FD58" s="201">
        <f t="shared" si="257"/>
        <v>0</v>
      </c>
      <c r="FE58" s="203">
        <f t="shared" si="341"/>
        <v>0</v>
      </c>
      <c r="FF58" s="199">
        <f t="shared" ca="1" si="747"/>
        <v>50066.157742402327</v>
      </c>
      <c r="FG58" s="200">
        <f t="shared" si="259"/>
        <v>1</v>
      </c>
      <c r="FH58" s="201">
        <f t="shared" ca="1" si="748"/>
        <v>53710.718318020132</v>
      </c>
      <c r="FI58" s="200">
        <f t="shared" si="261"/>
        <v>1</v>
      </c>
      <c r="FJ58" s="201" cm="1">
        <f t="array" ref="FJ58">IF(LEFT($AG58,3)="Res",IF(OR($DR58&gt;External_Threshold,$DH58&gt;0),1*Uplift*AWE*(External),0),0)</f>
        <v>15481.186685962373</v>
      </c>
      <c r="FK58" s="200">
        <f t="shared" si="262"/>
        <v>1</v>
      </c>
      <c r="FL58" s="201">
        <f t="shared" si="749"/>
        <v>0</v>
      </c>
      <c r="FM58" s="203">
        <f t="shared" si="342"/>
        <v>0</v>
      </c>
      <c r="FN58" s="199">
        <f t="shared" ca="1" si="750"/>
        <v>43169.289073806081</v>
      </c>
      <c r="FO58" s="200">
        <f t="shared" si="265"/>
        <v>1</v>
      </c>
      <c r="FP58" s="201">
        <f t="shared" ca="1" si="751"/>
        <v>42844.516396144296</v>
      </c>
      <c r="FQ58" s="200">
        <f t="shared" si="267"/>
        <v>1</v>
      </c>
      <c r="FR58" s="201" cm="1">
        <f t="array" ref="FR58">IF(LEFT($AG58,3)="Res",IF(OR($DS58&gt;External_Threshold,$DI58&gt;0),1*Uplift*AWE*(External),0),0)</f>
        <v>15481.186685962373</v>
      </c>
      <c r="FS58" s="200">
        <f t="shared" si="268"/>
        <v>1</v>
      </c>
      <c r="FT58" s="201">
        <f t="shared" si="752"/>
        <v>0</v>
      </c>
      <c r="FU58" s="203">
        <f t="shared" si="343"/>
        <v>0</v>
      </c>
      <c r="FV58" s="199">
        <f t="shared" ca="1" si="753"/>
        <v>2809.8353835021708</v>
      </c>
      <c r="FW58" s="200">
        <f t="shared" si="271"/>
        <v>0</v>
      </c>
      <c r="FX58" s="201">
        <f t="shared" ca="1" si="754"/>
        <v>0</v>
      </c>
      <c r="FY58" s="200">
        <f t="shared" si="273"/>
        <v>0</v>
      </c>
      <c r="FZ58" s="201" cm="1">
        <f t="array" ref="FZ58">IF(LEFT($AG58,3)="Res",IF(OR($DT58&gt;External_Threshold,$DJ58&gt;0),1*Uplift*AWE*(External),0),0)</f>
        <v>15481.186685962373</v>
      </c>
      <c r="GA58" s="200">
        <f t="shared" si="274"/>
        <v>1</v>
      </c>
      <c r="GB58" s="201">
        <f t="shared" si="755"/>
        <v>0</v>
      </c>
      <c r="GC58" s="203">
        <f t="shared" si="344"/>
        <v>0</v>
      </c>
      <c r="GD58" s="199">
        <f t="shared" ca="1" si="756"/>
        <v>0</v>
      </c>
      <c r="GE58" s="200">
        <f t="shared" si="277"/>
        <v>0</v>
      </c>
      <c r="GF58" s="201">
        <f t="shared" ca="1" si="757"/>
        <v>0</v>
      </c>
      <c r="GG58" s="200">
        <f t="shared" si="279"/>
        <v>0</v>
      </c>
      <c r="GH58" s="201" cm="1">
        <f t="array" ref="GH58">IF(LEFT($AG58,3)="Res",IF(OR($DU58&gt;External_Threshold,$DK58&gt;0),1*Uplift*AWE*(External),0),0)</f>
        <v>0</v>
      </c>
      <c r="GI58" s="200">
        <f t="shared" si="280"/>
        <v>0</v>
      </c>
      <c r="GJ58" s="201">
        <f t="shared" si="758"/>
        <v>0</v>
      </c>
      <c r="GK58" s="203">
        <f t="shared" si="345"/>
        <v>0</v>
      </c>
      <c r="GL58" s="199">
        <f t="shared" ca="1" si="759"/>
        <v>0</v>
      </c>
      <c r="GM58" s="200">
        <f t="shared" si="283"/>
        <v>0</v>
      </c>
      <c r="GN58" s="201">
        <f t="shared" ca="1" si="760"/>
        <v>0</v>
      </c>
      <c r="GO58" s="200">
        <f t="shared" si="285"/>
        <v>0</v>
      </c>
      <c r="GP58" s="201" cm="1">
        <f t="array" ref="GP58">IF(LEFT($AG58,3)="Res",IF(OR($DV58&gt;External_Threshold,$DL58&gt;0),1*Uplift*AWE*(External),0),0)</f>
        <v>0</v>
      </c>
      <c r="GQ58" s="200">
        <f t="shared" si="286"/>
        <v>0</v>
      </c>
      <c r="GR58" s="201">
        <f t="shared" si="761"/>
        <v>0</v>
      </c>
      <c r="GS58" s="203">
        <f t="shared" si="346"/>
        <v>0</v>
      </c>
      <c r="GT58" s="199">
        <f t="shared" ca="1" si="762"/>
        <v>0</v>
      </c>
      <c r="GU58" s="200">
        <f t="shared" si="289"/>
        <v>0</v>
      </c>
      <c r="GV58" s="201">
        <f t="shared" ca="1" si="763"/>
        <v>0</v>
      </c>
      <c r="GW58" s="200">
        <f t="shared" si="291"/>
        <v>0</v>
      </c>
      <c r="GX58" s="201" cm="1">
        <f t="array" ref="GX58">IF(LEFT($AG58,3)="Res",IF(OR($DW58&gt;External_Threshold,$DM58&gt;0),1*Uplift*AWE*(External),0),0)</f>
        <v>0</v>
      </c>
      <c r="GY58" s="200">
        <f t="shared" si="292"/>
        <v>0</v>
      </c>
      <c r="GZ58" s="201">
        <f t="shared" si="764"/>
        <v>0</v>
      </c>
      <c r="HA58" s="203">
        <f t="shared" si="347"/>
        <v>0</v>
      </c>
      <c r="HB58" s="54"/>
      <c r="HC58" s="54"/>
      <c r="HD58" s="54"/>
      <c r="HE58" s="54"/>
      <c r="HF58" s="54"/>
      <c r="HG58" s="201">
        <f t="shared" ca="1" si="348"/>
        <v>152663.56807914871</v>
      </c>
      <c r="HH58" s="201">
        <f t="shared" ca="1" si="349"/>
        <v>139011.88264340477</v>
      </c>
      <c r="HI58" s="201">
        <f t="shared" ca="1" si="350"/>
        <v>130923.17413523023</v>
      </c>
      <c r="HJ58" s="201">
        <f t="shared" ca="1" si="351"/>
        <v>128628.63016803681</v>
      </c>
      <c r="HK58" s="201">
        <f t="shared" ca="1" si="352"/>
        <v>119258.06274638482</v>
      </c>
      <c r="HL58" s="201">
        <f t="shared" ca="1" si="353"/>
        <v>101494.99215591274</v>
      </c>
      <c r="HM58" s="201">
        <f t="shared" ca="1" si="354"/>
        <v>18291.022069464543</v>
      </c>
      <c r="HN58" s="201">
        <f t="shared" ca="1" si="355"/>
        <v>0</v>
      </c>
      <c r="HO58" s="201">
        <f t="shared" ca="1" si="356"/>
        <v>0</v>
      </c>
      <c r="HP58" s="201">
        <f t="shared" ca="1" si="357"/>
        <v>0</v>
      </c>
      <c r="HQ58" s="54"/>
    </row>
    <row r="59" spans="1:225" x14ac:dyDescent="0.3">
      <c r="A59" s="513">
        <v>41</v>
      </c>
      <c r="B59" s="514" t="s">
        <v>464</v>
      </c>
      <c r="C59" s="514" t="s">
        <v>390</v>
      </c>
      <c r="D59" s="514" t="s">
        <v>390</v>
      </c>
      <c r="E59" s="513">
        <v>1</v>
      </c>
      <c r="F59" s="515">
        <v>6.09</v>
      </c>
      <c r="G59" s="515">
        <v>6.04</v>
      </c>
      <c r="H59" s="513">
        <v>2</v>
      </c>
      <c r="I59" s="517">
        <v>1</v>
      </c>
      <c r="J59" s="518" t="s">
        <v>43</v>
      </c>
      <c r="K59" s="513">
        <f t="shared" si="724"/>
        <v>180</v>
      </c>
      <c r="L59" s="519">
        <v>7.3</v>
      </c>
      <c r="M59" s="519">
        <v>6.5</v>
      </c>
      <c r="N59" s="519">
        <v>6.2</v>
      </c>
      <c r="O59" s="519">
        <v>5.9</v>
      </c>
      <c r="P59" s="519">
        <v>5.45</v>
      </c>
      <c r="Q59" s="519">
        <v>4.97</v>
      </c>
      <c r="R59" s="519">
        <v>4.17</v>
      </c>
      <c r="S59" s="519">
        <v>0</v>
      </c>
      <c r="T59" s="519">
        <v>0</v>
      </c>
      <c r="U59" s="519">
        <v>0</v>
      </c>
      <c r="V59" s="536"/>
      <c r="W59" s="536"/>
      <c r="X59" s="536"/>
      <c r="Y59" s="536"/>
      <c r="Z59" s="536"/>
      <c r="AA59" s="536"/>
      <c r="AB59" s="536"/>
      <c r="AC59" s="536"/>
      <c r="AD59" s="536"/>
      <c r="AE59" s="536"/>
      <c r="AF59" s="54"/>
      <c r="AG59" s="204" t="str">
        <f t="shared" si="465"/>
        <v>Res1</v>
      </c>
      <c r="AH59" s="204">
        <f t="shared" si="294"/>
        <v>5</v>
      </c>
      <c r="AI59" s="204">
        <f t="shared" si="725"/>
        <v>1</v>
      </c>
      <c r="AJ59" s="54"/>
      <c r="AK59" s="74">
        <f>IFERROR(IF(H59&gt;4,0,AI59*Inputs!$C$55),0)</f>
        <v>2.6</v>
      </c>
      <c r="AL59" s="81">
        <f>IFERROR(Inputs!$C$73,0)</f>
        <v>5</v>
      </c>
      <c r="AM59" s="211">
        <f>IFERROR(Inputs!$C$74,0)</f>
        <v>0.24299999999999999</v>
      </c>
      <c r="AN59" s="446">
        <f>IFERROR(HLOOKUP(HLOOKUP(AN$17,$V$18:$AE59,COUNTA($AK$18:$AK59),FALSE),Inputs!$B$58:$H$59,2,FALSE),0)</f>
        <v>0</v>
      </c>
      <c r="AO59" s="447">
        <f t="shared" si="295"/>
        <v>0</v>
      </c>
      <c r="AP59" s="447">
        <f t="shared" si="296"/>
        <v>0</v>
      </c>
      <c r="AQ59" s="446">
        <f>IFERROR(HLOOKUP(HLOOKUP(AQ$17,$V$18:$AE59,COUNTA($AK$18:$AK59),FALSE),Inputs!$B$58:$H$59,2,FALSE),0)</f>
        <v>0</v>
      </c>
      <c r="AR59" s="447">
        <f t="shared" ref="AR59" si="828">2*$AK59*AQ59*$AL59/100*$AM59</f>
        <v>0</v>
      </c>
      <c r="AS59" s="447">
        <f t="shared" si="298"/>
        <v>0</v>
      </c>
      <c r="AT59" s="446">
        <f>IFERROR(HLOOKUP(HLOOKUP(AT$17,$V$18:$AE59,COUNTA($AK$18:$AK59),FALSE),Inputs!$B$58:$H$59,2,FALSE),0)</f>
        <v>0</v>
      </c>
      <c r="AU59" s="447">
        <f t="shared" ref="AU59" si="829">2*$AK59*AT59*$AL59/100*$AM59</f>
        <v>0</v>
      </c>
      <c r="AV59" s="447">
        <f t="shared" si="300"/>
        <v>0</v>
      </c>
      <c r="AW59" s="446">
        <f>IFERROR(HLOOKUP(HLOOKUP(AW$17,$V$18:$AE59,COUNTA($AK$18:$AK59),FALSE),Inputs!$B$58:$H$59,2,FALSE),0)</f>
        <v>0</v>
      </c>
      <c r="AX59" s="447">
        <f t="shared" ref="AX59" si="830">2*$AK59*AW59*$AL59/100*$AM59</f>
        <v>0</v>
      </c>
      <c r="AY59" s="447">
        <f t="shared" si="302"/>
        <v>0</v>
      </c>
      <c r="AZ59" s="446">
        <f>IFERROR(HLOOKUP(HLOOKUP(AZ$17,$V$18:$AE59,COUNTA($AK$18:$AK59),FALSE),Inputs!$B$58:$H$59,2,FALSE),0)</f>
        <v>0</v>
      </c>
      <c r="BA59" s="447">
        <f t="shared" ref="BA59" si="831">2*$AK59*AZ59*$AL59/100*$AM59</f>
        <v>0</v>
      </c>
      <c r="BB59" s="447">
        <f t="shared" si="304"/>
        <v>0</v>
      </c>
      <c r="BC59" s="446">
        <f>IFERROR(HLOOKUP(HLOOKUP(BC$17,$V$18:$AE59,COUNTA($AK$18:$AK59),FALSE),Inputs!$B$58:$H$59,2,FALSE),0)</f>
        <v>0</v>
      </c>
      <c r="BD59" s="447">
        <f t="shared" ref="BD59" si="832">2*$AK59*BC59*$AL59/100*$AM59</f>
        <v>0</v>
      </c>
      <c r="BE59" s="447">
        <f t="shared" si="306"/>
        <v>0</v>
      </c>
      <c r="BF59" s="446">
        <f>IFERROR(HLOOKUP(HLOOKUP(BF$17,$V$18:$AE59,COUNTA($AK$18:$AK59),FALSE),Inputs!$B$58:$H$59,2,FALSE),0)</f>
        <v>0</v>
      </c>
      <c r="BG59" s="447">
        <f t="shared" ref="BG59" si="833">2*$AK59*BF59*$AL59/100*$AM59</f>
        <v>0</v>
      </c>
      <c r="BH59" s="447">
        <f t="shared" si="308"/>
        <v>0</v>
      </c>
      <c r="BI59" s="446">
        <f>IFERROR(HLOOKUP(HLOOKUP(BI$17,$V$18:$AE59,COUNTA($AK$18:$AK59),FALSE),Inputs!$B$58:$H$59,2,FALSE),0)</f>
        <v>0</v>
      </c>
      <c r="BJ59" s="447">
        <f t="shared" ref="BJ59" si="834">2*$AK59*BI59*$AL59/100*$AM59</f>
        <v>0</v>
      </c>
      <c r="BK59" s="447">
        <f t="shared" si="310"/>
        <v>0</v>
      </c>
      <c r="BL59" s="446">
        <f>IFERROR(HLOOKUP(HLOOKUP(BL$17,$V$18:$AE59,COUNTA($AK$18:$AK59),FALSE),Inputs!$B$58:$H$59,2,FALSE),0)</f>
        <v>0</v>
      </c>
      <c r="BM59" s="447">
        <f t="shared" ref="BM59" si="835">2*$AK59*BL59*$AL59/100*$AM59</f>
        <v>0</v>
      </c>
      <c r="BN59" s="447">
        <f t="shared" si="312"/>
        <v>0</v>
      </c>
      <c r="BO59" s="446">
        <f>IFERROR(HLOOKUP(HLOOKUP(BO$17,$V$18:$AE59,COUNTA($AK$18:$AK59),FALSE),Inputs!$B$58:$H$59,2,FALSE),0)</f>
        <v>0</v>
      </c>
      <c r="BP59" s="447">
        <f t="shared" ref="BP59" si="836">2*$AK59*BO59*$AL59/100*$AM59</f>
        <v>0</v>
      </c>
      <c r="BQ59" s="447">
        <f t="shared" si="314"/>
        <v>0</v>
      </c>
      <c r="BR59" s="54"/>
      <c r="BS59" s="103">
        <f t="shared" ca="1" si="735"/>
        <v>613.16108533646889</v>
      </c>
      <c r="BT59" s="103">
        <f t="shared" ca="1" si="396"/>
        <v>316.80967077988339</v>
      </c>
      <c r="BU59" s="103">
        <f t="shared" si="397"/>
        <v>115.95408827785818</v>
      </c>
      <c r="BV59" s="103">
        <f t="shared" si="398"/>
        <v>0</v>
      </c>
      <c r="BW59" s="152">
        <f t="shared" ca="1" si="399"/>
        <v>1045.9248443942104</v>
      </c>
      <c r="BX59" s="441"/>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188">
        <f t="shared" si="315"/>
        <v>1.21</v>
      </c>
      <c r="DE59" s="188">
        <f t="shared" si="316"/>
        <v>0.41000000000000014</v>
      </c>
      <c r="DF59" s="188">
        <f t="shared" si="317"/>
        <v>0.11000000000000032</v>
      </c>
      <c r="DG59" s="188">
        <f t="shared" si="318"/>
        <v>-0.1899999999999995</v>
      </c>
      <c r="DH59" s="188">
        <f t="shared" si="319"/>
        <v>-0.3</v>
      </c>
      <c r="DI59" s="188">
        <f t="shared" si="320"/>
        <v>-0.3</v>
      </c>
      <c r="DJ59" s="188">
        <f t="shared" si="321"/>
        <v>-0.3</v>
      </c>
      <c r="DK59" s="188">
        <f t="shared" si="322"/>
        <v>-0.3</v>
      </c>
      <c r="DL59" s="188">
        <f t="shared" si="323"/>
        <v>-0.3</v>
      </c>
      <c r="DM59" s="188">
        <f t="shared" si="324"/>
        <v>-0.3</v>
      </c>
      <c r="DN59" s="189">
        <f t="shared" si="325"/>
        <v>1.2599999999999998</v>
      </c>
      <c r="DO59" s="189">
        <f t="shared" si="326"/>
        <v>0.45999999999999996</v>
      </c>
      <c r="DP59" s="189">
        <f t="shared" si="327"/>
        <v>0.16000000000000014</v>
      </c>
      <c r="DQ59" s="189">
        <f t="shared" si="328"/>
        <v>0</v>
      </c>
      <c r="DR59" s="189">
        <f t="shared" si="329"/>
        <v>0</v>
      </c>
      <c r="DS59" s="189">
        <f t="shared" si="330"/>
        <v>0</v>
      </c>
      <c r="DT59" s="189">
        <f t="shared" si="331"/>
        <v>0</v>
      </c>
      <c r="DU59" s="189">
        <f t="shared" si="332"/>
        <v>0</v>
      </c>
      <c r="DV59" s="189">
        <f t="shared" si="333"/>
        <v>0</v>
      </c>
      <c r="DW59" s="189">
        <f t="shared" si="334"/>
        <v>0</v>
      </c>
      <c r="DX59" s="54"/>
      <c r="DY59" s="54"/>
      <c r="DZ59" s="199">
        <f t="shared" ca="1" si="736"/>
        <v>97986.623010130264</v>
      </c>
      <c r="EA59" s="200">
        <f t="shared" si="335"/>
        <v>1</v>
      </c>
      <c r="EB59" s="201">
        <f t="shared" ca="1" si="737"/>
        <v>90343.059939348983</v>
      </c>
      <c r="EC59" s="200">
        <f t="shared" si="336"/>
        <v>1</v>
      </c>
      <c r="ED59" s="201" cm="1">
        <f t="array" ref="ED59">IF(LEFT($AG59,3)="Res",IF(OR($DN59&gt;External_Threshold,$DD59&gt;0),1*Uplift*AWE*(External),0),0)</f>
        <v>15481.186685962373</v>
      </c>
      <c r="EE59" s="200">
        <f t="shared" si="337"/>
        <v>1</v>
      </c>
      <c r="EF59" s="201">
        <f t="shared" si="738"/>
        <v>0</v>
      </c>
      <c r="EG59" s="203">
        <f t="shared" si="338"/>
        <v>0</v>
      </c>
      <c r="EH59" s="199">
        <f t="shared" ca="1" si="739"/>
        <v>81740.665701881328</v>
      </c>
      <c r="EI59" s="200">
        <f t="shared" si="241"/>
        <v>1</v>
      </c>
      <c r="EJ59" s="201">
        <f t="shared" ca="1" si="740"/>
        <v>55261.914017653689</v>
      </c>
      <c r="EK59" s="200">
        <f t="shared" si="243"/>
        <v>1</v>
      </c>
      <c r="EL59" s="201" cm="1">
        <f t="array" ref="EL59">IF(LEFT($AG59,3)="Res",IF(OR($DO59&gt;External_Threshold,$DE59&gt;0),1*Uplift*AWE*(External),0),0)</f>
        <v>15481.186685962373</v>
      </c>
      <c r="EM59" s="200">
        <f t="shared" si="244"/>
        <v>1</v>
      </c>
      <c r="EN59" s="201">
        <f t="shared" si="741"/>
        <v>0</v>
      </c>
      <c r="EO59" s="203">
        <f t="shared" si="339"/>
        <v>0</v>
      </c>
      <c r="EP59" s="199">
        <f t="shared" ca="1" si="742"/>
        <v>74418.064399421128</v>
      </c>
      <c r="EQ59" s="200">
        <f t="shared" si="247"/>
        <v>1</v>
      </c>
      <c r="ER59" s="201">
        <f t="shared" ca="1" si="743"/>
        <v>22259.962666546307</v>
      </c>
      <c r="ES59" s="200">
        <f t="shared" si="249"/>
        <v>1</v>
      </c>
      <c r="ET59" s="201" cm="1">
        <f t="array" ref="ET59">IF(LEFT($AG59,3)="Res",IF(OR($DP59&gt;External_Threshold,$DF59&gt;0),1*Uplift*AWE*(External),0),0)</f>
        <v>15481.186685962373</v>
      </c>
      <c r="EU59" s="200">
        <f t="shared" si="250"/>
        <v>1</v>
      </c>
      <c r="EV59" s="201">
        <f t="shared" si="744"/>
        <v>0</v>
      </c>
      <c r="EW59" s="203">
        <f t="shared" si="340"/>
        <v>0</v>
      </c>
      <c r="EX59" s="199">
        <f t="shared" ca="1" si="745"/>
        <v>1873.2235890014467</v>
      </c>
      <c r="EY59" s="200">
        <f t="shared" si="253"/>
        <v>0</v>
      </c>
      <c r="EZ59" s="201">
        <f t="shared" ca="1" si="746"/>
        <v>0</v>
      </c>
      <c r="FA59" s="200">
        <f t="shared" si="255"/>
        <v>0</v>
      </c>
      <c r="FB59" s="201" cm="1">
        <f t="array" ref="FB59">IF(LEFT($AG59,3)="Res",IF(OR($DQ59&gt;External_Threshold,$DG59&gt;0),1*Uplift*AWE*(External),0),0)</f>
        <v>0</v>
      </c>
      <c r="FC59" s="200">
        <f t="shared" si="256"/>
        <v>0</v>
      </c>
      <c r="FD59" s="201">
        <f t="shared" si="257"/>
        <v>0</v>
      </c>
      <c r="FE59" s="203">
        <f t="shared" si="341"/>
        <v>0</v>
      </c>
      <c r="FF59" s="199">
        <f t="shared" ca="1" si="747"/>
        <v>0</v>
      </c>
      <c r="FG59" s="200">
        <f t="shared" si="259"/>
        <v>0</v>
      </c>
      <c r="FH59" s="201">
        <f t="shared" ca="1" si="748"/>
        <v>0</v>
      </c>
      <c r="FI59" s="200">
        <f t="shared" si="261"/>
        <v>0</v>
      </c>
      <c r="FJ59" s="201" cm="1">
        <f t="array" ref="FJ59">IF(LEFT($AG59,3)="Res",IF(OR($DR59&gt;External_Threshold,$DH59&gt;0),1*Uplift*AWE*(External),0),0)</f>
        <v>0</v>
      </c>
      <c r="FK59" s="200">
        <f t="shared" si="262"/>
        <v>0</v>
      </c>
      <c r="FL59" s="201">
        <f t="shared" si="749"/>
        <v>0</v>
      </c>
      <c r="FM59" s="203">
        <f t="shared" si="342"/>
        <v>0</v>
      </c>
      <c r="FN59" s="199">
        <f t="shared" ca="1" si="750"/>
        <v>0</v>
      </c>
      <c r="FO59" s="200">
        <f t="shared" si="265"/>
        <v>0</v>
      </c>
      <c r="FP59" s="201">
        <f t="shared" ca="1" si="751"/>
        <v>0</v>
      </c>
      <c r="FQ59" s="200">
        <f t="shared" si="267"/>
        <v>0</v>
      </c>
      <c r="FR59" s="201" cm="1">
        <f t="array" ref="FR59">IF(LEFT($AG59,3)="Res",IF(OR($DS59&gt;External_Threshold,$DI59&gt;0),1*Uplift*AWE*(External),0),0)</f>
        <v>0</v>
      </c>
      <c r="FS59" s="200">
        <f t="shared" si="268"/>
        <v>0</v>
      </c>
      <c r="FT59" s="201">
        <f t="shared" si="752"/>
        <v>0</v>
      </c>
      <c r="FU59" s="203">
        <f t="shared" si="343"/>
        <v>0</v>
      </c>
      <c r="FV59" s="199">
        <f t="shared" ca="1" si="753"/>
        <v>0</v>
      </c>
      <c r="FW59" s="200">
        <f t="shared" si="271"/>
        <v>0</v>
      </c>
      <c r="FX59" s="201">
        <f t="shared" ca="1" si="754"/>
        <v>0</v>
      </c>
      <c r="FY59" s="200">
        <f t="shared" si="273"/>
        <v>0</v>
      </c>
      <c r="FZ59" s="201" cm="1">
        <f t="array" ref="FZ59">IF(LEFT($AG59,3)="Res",IF(OR($DT59&gt;External_Threshold,$DJ59&gt;0),1*Uplift*AWE*(External),0),0)</f>
        <v>0</v>
      </c>
      <c r="GA59" s="200">
        <f t="shared" si="274"/>
        <v>0</v>
      </c>
      <c r="GB59" s="201">
        <f t="shared" si="755"/>
        <v>0</v>
      </c>
      <c r="GC59" s="203">
        <f t="shared" si="344"/>
        <v>0</v>
      </c>
      <c r="GD59" s="199">
        <f t="shared" ca="1" si="756"/>
        <v>0</v>
      </c>
      <c r="GE59" s="200">
        <f t="shared" si="277"/>
        <v>0</v>
      </c>
      <c r="GF59" s="201">
        <f t="shared" ca="1" si="757"/>
        <v>0</v>
      </c>
      <c r="GG59" s="200">
        <f t="shared" si="279"/>
        <v>0</v>
      </c>
      <c r="GH59" s="201" cm="1">
        <f t="array" ref="GH59">IF(LEFT($AG59,3)="Res",IF(OR($DU59&gt;External_Threshold,$DK59&gt;0),1*Uplift*AWE*(External),0),0)</f>
        <v>0</v>
      </c>
      <c r="GI59" s="200">
        <f t="shared" si="280"/>
        <v>0</v>
      </c>
      <c r="GJ59" s="201">
        <f t="shared" si="758"/>
        <v>0</v>
      </c>
      <c r="GK59" s="203">
        <f t="shared" si="345"/>
        <v>0</v>
      </c>
      <c r="GL59" s="199">
        <f t="shared" ca="1" si="759"/>
        <v>0</v>
      </c>
      <c r="GM59" s="200">
        <f t="shared" si="283"/>
        <v>0</v>
      </c>
      <c r="GN59" s="201">
        <f t="shared" ca="1" si="760"/>
        <v>0</v>
      </c>
      <c r="GO59" s="200">
        <f t="shared" si="285"/>
        <v>0</v>
      </c>
      <c r="GP59" s="201" cm="1">
        <f t="array" ref="GP59">IF(LEFT($AG59,3)="Res",IF(OR($DV59&gt;External_Threshold,$DL59&gt;0),1*Uplift*AWE*(External),0),0)</f>
        <v>0</v>
      </c>
      <c r="GQ59" s="200">
        <f t="shared" si="286"/>
        <v>0</v>
      </c>
      <c r="GR59" s="201">
        <f t="shared" si="761"/>
        <v>0</v>
      </c>
      <c r="GS59" s="203">
        <f t="shared" si="346"/>
        <v>0</v>
      </c>
      <c r="GT59" s="199">
        <f t="shared" ca="1" si="762"/>
        <v>0</v>
      </c>
      <c r="GU59" s="200">
        <f t="shared" si="289"/>
        <v>0</v>
      </c>
      <c r="GV59" s="201">
        <f t="shared" ca="1" si="763"/>
        <v>0</v>
      </c>
      <c r="GW59" s="200">
        <f t="shared" si="291"/>
        <v>0</v>
      </c>
      <c r="GX59" s="201" cm="1">
        <f t="array" ref="GX59">IF(LEFT($AG59,3)="Res",IF(OR($DW59&gt;External_Threshold,$DM59&gt;0),1*Uplift*AWE*(External),0),0)</f>
        <v>0</v>
      </c>
      <c r="GY59" s="200">
        <f t="shared" si="292"/>
        <v>0</v>
      </c>
      <c r="GZ59" s="201">
        <f t="shared" si="764"/>
        <v>0</v>
      </c>
      <c r="HA59" s="203">
        <f t="shared" si="347"/>
        <v>0</v>
      </c>
      <c r="HB59" s="54"/>
      <c r="HC59" s="54"/>
      <c r="HD59" s="54"/>
      <c r="HE59" s="54"/>
      <c r="HF59" s="54"/>
      <c r="HG59" s="201">
        <f t="shared" ca="1" si="348"/>
        <v>203810.86963544163</v>
      </c>
      <c r="HH59" s="201">
        <f t="shared" ca="1" si="349"/>
        <v>152483.76640549739</v>
      </c>
      <c r="HI59" s="201">
        <f t="shared" ca="1" si="350"/>
        <v>112159.21375192981</v>
      </c>
      <c r="HJ59" s="201">
        <f t="shared" ca="1" si="351"/>
        <v>1873.2235890014467</v>
      </c>
      <c r="HK59" s="201">
        <f t="shared" ca="1" si="352"/>
        <v>0</v>
      </c>
      <c r="HL59" s="201">
        <f t="shared" ca="1" si="353"/>
        <v>0</v>
      </c>
      <c r="HM59" s="201">
        <f t="shared" ca="1" si="354"/>
        <v>0</v>
      </c>
      <c r="HN59" s="201">
        <f t="shared" ca="1" si="355"/>
        <v>0</v>
      </c>
      <c r="HO59" s="201">
        <f t="shared" ca="1" si="356"/>
        <v>0</v>
      </c>
      <c r="HP59" s="201">
        <f t="shared" ca="1" si="357"/>
        <v>0</v>
      </c>
      <c r="HQ59" s="54"/>
    </row>
    <row r="60" spans="1:225" x14ac:dyDescent="0.3">
      <c r="A60" s="513">
        <v>42</v>
      </c>
      <c r="B60" s="514" t="s">
        <v>465</v>
      </c>
      <c r="C60" s="514" t="s">
        <v>390</v>
      </c>
      <c r="D60" s="514" t="s">
        <v>390</v>
      </c>
      <c r="E60" s="513">
        <v>1</v>
      </c>
      <c r="F60" s="515">
        <v>6.03</v>
      </c>
      <c r="G60" s="515">
        <v>5.98</v>
      </c>
      <c r="H60" s="513">
        <v>2</v>
      </c>
      <c r="I60" s="517">
        <v>1</v>
      </c>
      <c r="J60" s="518" t="s">
        <v>44</v>
      </c>
      <c r="K60" s="513">
        <f t="shared" si="724"/>
        <v>240</v>
      </c>
      <c r="L60" s="519">
        <v>7.3</v>
      </c>
      <c r="M60" s="519">
        <v>6.5</v>
      </c>
      <c r="N60" s="519">
        <v>6.2</v>
      </c>
      <c r="O60" s="519">
        <v>5.9</v>
      </c>
      <c r="P60" s="519">
        <v>5.45</v>
      </c>
      <c r="Q60" s="519">
        <v>4.97</v>
      </c>
      <c r="R60" s="519">
        <v>4.17</v>
      </c>
      <c r="S60" s="519">
        <v>0</v>
      </c>
      <c r="T60" s="519">
        <v>0</v>
      </c>
      <c r="U60" s="519">
        <v>0</v>
      </c>
      <c r="V60" s="536"/>
      <c r="W60" s="536"/>
      <c r="X60" s="536"/>
      <c r="Y60" s="536"/>
      <c r="Z60" s="536"/>
      <c r="AA60" s="536"/>
      <c r="AB60" s="536"/>
      <c r="AC60" s="536"/>
      <c r="AD60" s="536"/>
      <c r="AE60" s="536"/>
      <c r="AF60" s="54"/>
      <c r="AG60" s="204" t="str">
        <f t="shared" si="465"/>
        <v>Res1</v>
      </c>
      <c r="AH60" s="204">
        <f t="shared" si="294"/>
        <v>6</v>
      </c>
      <c r="AI60" s="204">
        <f t="shared" si="725"/>
        <v>1</v>
      </c>
      <c r="AJ60" s="54"/>
      <c r="AK60" s="74">
        <f>IFERROR(IF(H60&gt;4,0,AI60*Inputs!$C$55),0)</f>
        <v>2.6</v>
      </c>
      <c r="AL60" s="81">
        <f>IFERROR(Inputs!$C$73,0)</f>
        <v>5</v>
      </c>
      <c r="AM60" s="211">
        <f>IFERROR(Inputs!$C$74,0)</f>
        <v>0.24299999999999999</v>
      </c>
      <c r="AN60" s="446">
        <f>IFERROR(HLOOKUP(HLOOKUP(AN$17,$V$18:$AE60,COUNTA($AK$18:$AK60),FALSE),Inputs!$B$58:$H$59,2,FALSE),0)</f>
        <v>0</v>
      </c>
      <c r="AO60" s="447">
        <f t="shared" si="295"/>
        <v>0</v>
      </c>
      <c r="AP60" s="447">
        <f t="shared" si="296"/>
        <v>0</v>
      </c>
      <c r="AQ60" s="446">
        <f>IFERROR(HLOOKUP(HLOOKUP(AQ$17,$V$18:$AE60,COUNTA($AK$18:$AK60),FALSE),Inputs!$B$58:$H$59,2,FALSE),0)</f>
        <v>0</v>
      </c>
      <c r="AR60" s="447">
        <f t="shared" ref="AR60" si="837">2*$AK60*AQ60*$AL60/100*$AM60</f>
        <v>0</v>
      </c>
      <c r="AS60" s="447">
        <f t="shared" si="298"/>
        <v>0</v>
      </c>
      <c r="AT60" s="446">
        <f>IFERROR(HLOOKUP(HLOOKUP(AT$17,$V$18:$AE60,COUNTA($AK$18:$AK60),FALSE),Inputs!$B$58:$H$59,2,FALSE),0)</f>
        <v>0</v>
      </c>
      <c r="AU60" s="447">
        <f t="shared" ref="AU60" si="838">2*$AK60*AT60*$AL60/100*$AM60</f>
        <v>0</v>
      </c>
      <c r="AV60" s="447">
        <f t="shared" si="300"/>
        <v>0</v>
      </c>
      <c r="AW60" s="446">
        <f>IFERROR(HLOOKUP(HLOOKUP(AW$17,$V$18:$AE60,COUNTA($AK$18:$AK60),FALSE),Inputs!$B$58:$H$59,2,FALSE),0)</f>
        <v>0</v>
      </c>
      <c r="AX60" s="447">
        <f t="shared" ref="AX60" si="839">2*$AK60*AW60*$AL60/100*$AM60</f>
        <v>0</v>
      </c>
      <c r="AY60" s="447">
        <f t="shared" si="302"/>
        <v>0</v>
      </c>
      <c r="AZ60" s="446">
        <f>IFERROR(HLOOKUP(HLOOKUP(AZ$17,$V$18:$AE60,COUNTA($AK$18:$AK60),FALSE),Inputs!$B$58:$H$59,2,FALSE),0)</f>
        <v>0</v>
      </c>
      <c r="BA60" s="447">
        <f t="shared" ref="BA60" si="840">2*$AK60*AZ60*$AL60/100*$AM60</f>
        <v>0</v>
      </c>
      <c r="BB60" s="447">
        <f t="shared" si="304"/>
        <v>0</v>
      </c>
      <c r="BC60" s="446">
        <f>IFERROR(HLOOKUP(HLOOKUP(BC$17,$V$18:$AE60,COUNTA($AK$18:$AK60),FALSE),Inputs!$B$58:$H$59,2,FALSE),0)</f>
        <v>0</v>
      </c>
      <c r="BD60" s="447">
        <f t="shared" ref="BD60" si="841">2*$AK60*BC60*$AL60/100*$AM60</f>
        <v>0</v>
      </c>
      <c r="BE60" s="447">
        <f t="shared" si="306"/>
        <v>0</v>
      </c>
      <c r="BF60" s="446">
        <f>IFERROR(HLOOKUP(HLOOKUP(BF$17,$V$18:$AE60,COUNTA($AK$18:$AK60),FALSE),Inputs!$B$58:$H$59,2,FALSE),0)</f>
        <v>0</v>
      </c>
      <c r="BG60" s="447">
        <f t="shared" ref="BG60" si="842">2*$AK60*BF60*$AL60/100*$AM60</f>
        <v>0</v>
      </c>
      <c r="BH60" s="447">
        <f t="shared" si="308"/>
        <v>0</v>
      </c>
      <c r="BI60" s="446">
        <f>IFERROR(HLOOKUP(HLOOKUP(BI$17,$V$18:$AE60,COUNTA($AK$18:$AK60),FALSE),Inputs!$B$58:$H$59,2,FALSE),0)</f>
        <v>0</v>
      </c>
      <c r="BJ60" s="447">
        <f t="shared" ref="BJ60" si="843">2*$AK60*BI60*$AL60/100*$AM60</f>
        <v>0</v>
      </c>
      <c r="BK60" s="447">
        <f t="shared" si="310"/>
        <v>0</v>
      </c>
      <c r="BL60" s="446">
        <f>IFERROR(HLOOKUP(HLOOKUP(BL$17,$V$18:$AE60,COUNTA($AK$18:$AK60),FALSE),Inputs!$B$58:$H$59,2,FALSE),0)</f>
        <v>0</v>
      </c>
      <c r="BM60" s="447">
        <f t="shared" ref="BM60" si="844">2*$AK60*BL60*$AL60/100*$AM60</f>
        <v>0</v>
      </c>
      <c r="BN60" s="447">
        <f t="shared" si="312"/>
        <v>0</v>
      </c>
      <c r="BO60" s="446">
        <f>IFERROR(HLOOKUP(HLOOKUP(BO$17,$V$18:$AE60,COUNTA($AK$18:$AK60),FALSE),Inputs!$B$58:$H$59,2,FALSE),0)</f>
        <v>0</v>
      </c>
      <c r="BP60" s="447">
        <f t="shared" ref="BP60" si="845">2*$AK60*BO60*$AL60/100*$AM60</f>
        <v>0</v>
      </c>
      <c r="BQ60" s="447">
        <f t="shared" si="314"/>
        <v>0</v>
      </c>
      <c r="BR60" s="54"/>
      <c r="BS60" s="103">
        <f t="shared" ca="1" si="735"/>
        <v>839.52431881331404</v>
      </c>
      <c r="BT60" s="103">
        <f t="shared" ca="1" si="396"/>
        <v>454.39920049778436</v>
      </c>
      <c r="BU60" s="103">
        <f t="shared" si="397"/>
        <v>115.95408827785818</v>
      </c>
      <c r="BV60" s="103">
        <f t="shared" si="398"/>
        <v>0</v>
      </c>
      <c r="BW60" s="152">
        <f t="shared" ca="1" si="399"/>
        <v>1409.8776075889566</v>
      </c>
      <c r="BX60" s="441"/>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188">
        <f t="shared" si="315"/>
        <v>1.2699999999999996</v>
      </c>
      <c r="DE60" s="188">
        <f t="shared" si="316"/>
        <v>0.46999999999999975</v>
      </c>
      <c r="DF60" s="188">
        <f t="shared" si="317"/>
        <v>0.16999999999999993</v>
      </c>
      <c r="DG60" s="188">
        <f t="shared" si="318"/>
        <v>-0.12999999999999989</v>
      </c>
      <c r="DH60" s="188">
        <f t="shared" si="319"/>
        <v>-0.3</v>
      </c>
      <c r="DI60" s="188">
        <f t="shared" si="320"/>
        <v>-0.3</v>
      </c>
      <c r="DJ60" s="188">
        <f t="shared" si="321"/>
        <v>-0.3</v>
      </c>
      <c r="DK60" s="188">
        <f t="shared" si="322"/>
        <v>-0.3</v>
      </c>
      <c r="DL60" s="188">
        <f t="shared" si="323"/>
        <v>-0.3</v>
      </c>
      <c r="DM60" s="188">
        <f t="shared" si="324"/>
        <v>-0.3</v>
      </c>
      <c r="DN60" s="189">
        <f t="shared" si="325"/>
        <v>1.3199999999999994</v>
      </c>
      <c r="DO60" s="189">
        <f t="shared" si="326"/>
        <v>0.51999999999999957</v>
      </c>
      <c r="DP60" s="189">
        <f t="shared" si="327"/>
        <v>0.21999999999999975</v>
      </c>
      <c r="DQ60" s="189">
        <f t="shared" si="328"/>
        <v>0</v>
      </c>
      <c r="DR60" s="189">
        <f t="shared" si="329"/>
        <v>0</v>
      </c>
      <c r="DS60" s="189">
        <f t="shared" si="330"/>
        <v>0</v>
      </c>
      <c r="DT60" s="189">
        <f t="shared" si="331"/>
        <v>0</v>
      </c>
      <c r="DU60" s="189">
        <f t="shared" si="332"/>
        <v>0</v>
      </c>
      <c r="DV60" s="189">
        <f t="shared" si="333"/>
        <v>0</v>
      </c>
      <c r="DW60" s="189">
        <f t="shared" si="334"/>
        <v>0</v>
      </c>
      <c r="DX60" s="54"/>
      <c r="DY60" s="54"/>
      <c r="DZ60" s="199">
        <f t="shared" ca="1" si="736"/>
        <v>133509.75397973953</v>
      </c>
      <c r="EA60" s="200">
        <f t="shared" si="335"/>
        <v>1</v>
      </c>
      <c r="EB60" s="201">
        <f t="shared" ca="1" si="737"/>
        <v>115895.24884805368</v>
      </c>
      <c r="EC60" s="200">
        <f t="shared" si="336"/>
        <v>1</v>
      </c>
      <c r="ED60" s="201" cm="1">
        <f t="array" ref="ED60">IF(LEFT($AG60,3)="Res",IF(OR($DN60&gt;External_Threshold,$DD60&gt;0),1*Uplift*AWE*(External),0),0)</f>
        <v>15481.186685962373</v>
      </c>
      <c r="EE60" s="200">
        <f t="shared" si="337"/>
        <v>1</v>
      </c>
      <c r="EF60" s="201">
        <f t="shared" si="738"/>
        <v>0</v>
      </c>
      <c r="EG60" s="203">
        <f t="shared" si="338"/>
        <v>0</v>
      </c>
      <c r="EH60" s="199">
        <f t="shared" ca="1" si="739"/>
        <v>108987.5542691751</v>
      </c>
      <c r="EI60" s="200">
        <f t="shared" si="241"/>
        <v>1</v>
      </c>
      <c r="EJ60" s="201">
        <f t="shared" ca="1" si="740"/>
        <v>74310.110846332886</v>
      </c>
      <c r="EK60" s="200">
        <f t="shared" si="243"/>
        <v>1</v>
      </c>
      <c r="EL60" s="201" cm="1">
        <f t="array" ref="EL60">IF(LEFT($AG60,3)="Res",IF(OR($DO60&gt;External_Threshold,$DE60&gt;0),1*Uplift*AWE*(External),0),0)</f>
        <v>15481.186685962373</v>
      </c>
      <c r="EM60" s="200">
        <f t="shared" si="244"/>
        <v>1</v>
      </c>
      <c r="EN60" s="201">
        <f t="shared" si="741"/>
        <v>0</v>
      </c>
      <c r="EO60" s="203">
        <f t="shared" si="339"/>
        <v>0</v>
      </c>
      <c r="EP60" s="199">
        <f t="shared" ca="1" si="742"/>
        <v>101664.95296671492</v>
      </c>
      <c r="EQ60" s="200">
        <f t="shared" si="247"/>
        <v>1</v>
      </c>
      <c r="ER60" s="201">
        <f t="shared" ca="1" si="743"/>
        <v>38419.925333092608</v>
      </c>
      <c r="ES60" s="200">
        <f t="shared" si="249"/>
        <v>1</v>
      </c>
      <c r="ET60" s="201" cm="1">
        <f t="array" ref="ET60">IF(LEFT($AG60,3)="Res",IF(OR($DP60&gt;External_Threshold,$DF60&gt;0),1*Uplift*AWE*(External),0),0)</f>
        <v>15481.186685962373</v>
      </c>
      <c r="EU60" s="200">
        <f t="shared" si="250"/>
        <v>1</v>
      </c>
      <c r="EV60" s="201">
        <f t="shared" si="744"/>
        <v>0</v>
      </c>
      <c r="EW60" s="203">
        <f t="shared" si="340"/>
        <v>0</v>
      </c>
      <c r="EX60" s="199">
        <f t="shared" ca="1" si="745"/>
        <v>3746.4471780028939</v>
      </c>
      <c r="EY60" s="200">
        <f t="shared" si="253"/>
        <v>0</v>
      </c>
      <c r="EZ60" s="201">
        <f t="shared" ca="1" si="746"/>
        <v>0</v>
      </c>
      <c r="FA60" s="200">
        <f t="shared" si="255"/>
        <v>0</v>
      </c>
      <c r="FB60" s="201" cm="1">
        <f t="array" ref="FB60">IF(LEFT($AG60,3)="Res",IF(OR($DQ60&gt;External_Threshold,$DG60&gt;0),1*Uplift*AWE*(External),0),0)</f>
        <v>0</v>
      </c>
      <c r="FC60" s="200">
        <f t="shared" si="256"/>
        <v>0</v>
      </c>
      <c r="FD60" s="201">
        <f t="shared" si="257"/>
        <v>0</v>
      </c>
      <c r="FE60" s="203">
        <f t="shared" si="341"/>
        <v>0</v>
      </c>
      <c r="FF60" s="199">
        <f t="shared" ca="1" si="747"/>
        <v>0</v>
      </c>
      <c r="FG60" s="200">
        <f t="shared" si="259"/>
        <v>0</v>
      </c>
      <c r="FH60" s="201">
        <f t="shared" ca="1" si="748"/>
        <v>0</v>
      </c>
      <c r="FI60" s="200">
        <f t="shared" si="261"/>
        <v>0</v>
      </c>
      <c r="FJ60" s="201" cm="1">
        <f t="array" ref="FJ60">IF(LEFT($AG60,3)="Res",IF(OR($DR60&gt;External_Threshold,$DH60&gt;0),1*Uplift*AWE*(External),0),0)</f>
        <v>0</v>
      </c>
      <c r="FK60" s="200">
        <f t="shared" si="262"/>
        <v>0</v>
      </c>
      <c r="FL60" s="201">
        <f t="shared" si="749"/>
        <v>0</v>
      </c>
      <c r="FM60" s="203">
        <f t="shared" si="342"/>
        <v>0</v>
      </c>
      <c r="FN60" s="199">
        <f t="shared" ca="1" si="750"/>
        <v>0</v>
      </c>
      <c r="FO60" s="200">
        <f t="shared" si="265"/>
        <v>0</v>
      </c>
      <c r="FP60" s="201">
        <f t="shared" ca="1" si="751"/>
        <v>0</v>
      </c>
      <c r="FQ60" s="200">
        <f t="shared" si="267"/>
        <v>0</v>
      </c>
      <c r="FR60" s="201" cm="1">
        <f t="array" ref="FR60">IF(LEFT($AG60,3)="Res",IF(OR($DS60&gt;External_Threshold,$DI60&gt;0),1*Uplift*AWE*(External),0),0)</f>
        <v>0</v>
      </c>
      <c r="FS60" s="200">
        <f t="shared" si="268"/>
        <v>0</v>
      </c>
      <c r="FT60" s="201">
        <f t="shared" si="752"/>
        <v>0</v>
      </c>
      <c r="FU60" s="203">
        <f t="shared" si="343"/>
        <v>0</v>
      </c>
      <c r="FV60" s="199">
        <f t="shared" ca="1" si="753"/>
        <v>0</v>
      </c>
      <c r="FW60" s="200">
        <f t="shared" si="271"/>
        <v>0</v>
      </c>
      <c r="FX60" s="201">
        <f t="shared" ca="1" si="754"/>
        <v>0</v>
      </c>
      <c r="FY60" s="200">
        <f t="shared" si="273"/>
        <v>0</v>
      </c>
      <c r="FZ60" s="201" cm="1">
        <f t="array" ref="FZ60">IF(LEFT($AG60,3)="Res",IF(OR($DT60&gt;External_Threshold,$DJ60&gt;0),1*Uplift*AWE*(External),0),0)</f>
        <v>0</v>
      </c>
      <c r="GA60" s="200">
        <f t="shared" si="274"/>
        <v>0</v>
      </c>
      <c r="GB60" s="201">
        <f t="shared" si="755"/>
        <v>0</v>
      </c>
      <c r="GC60" s="203">
        <f t="shared" si="344"/>
        <v>0</v>
      </c>
      <c r="GD60" s="199">
        <f t="shared" ca="1" si="756"/>
        <v>0</v>
      </c>
      <c r="GE60" s="200">
        <f t="shared" si="277"/>
        <v>0</v>
      </c>
      <c r="GF60" s="201">
        <f t="shared" ca="1" si="757"/>
        <v>0</v>
      </c>
      <c r="GG60" s="200">
        <f t="shared" si="279"/>
        <v>0</v>
      </c>
      <c r="GH60" s="201" cm="1">
        <f t="array" ref="GH60">IF(LEFT($AG60,3)="Res",IF(OR($DU60&gt;External_Threshold,$DK60&gt;0),1*Uplift*AWE*(External),0),0)</f>
        <v>0</v>
      </c>
      <c r="GI60" s="200">
        <f t="shared" si="280"/>
        <v>0</v>
      </c>
      <c r="GJ60" s="201">
        <f t="shared" si="758"/>
        <v>0</v>
      </c>
      <c r="GK60" s="203">
        <f t="shared" si="345"/>
        <v>0</v>
      </c>
      <c r="GL60" s="199">
        <f t="shared" ca="1" si="759"/>
        <v>0</v>
      </c>
      <c r="GM60" s="200">
        <f t="shared" si="283"/>
        <v>0</v>
      </c>
      <c r="GN60" s="201">
        <f t="shared" ca="1" si="760"/>
        <v>0</v>
      </c>
      <c r="GO60" s="200">
        <f t="shared" si="285"/>
        <v>0</v>
      </c>
      <c r="GP60" s="201" cm="1">
        <f t="array" ref="GP60">IF(LEFT($AG60,3)="Res",IF(OR($DV60&gt;External_Threshold,$DL60&gt;0),1*Uplift*AWE*(External),0),0)</f>
        <v>0</v>
      </c>
      <c r="GQ60" s="200">
        <f t="shared" si="286"/>
        <v>0</v>
      </c>
      <c r="GR60" s="201">
        <f t="shared" si="761"/>
        <v>0</v>
      </c>
      <c r="GS60" s="203">
        <f t="shared" si="346"/>
        <v>0</v>
      </c>
      <c r="GT60" s="199">
        <f t="shared" ca="1" si="762"/>
        <v>0</v>
      </c>
      <c r="GU60" s="200">
        <f t="shared" si="289"/>
        <v>0</v>
      </c>
      <c r="GV60" s="201">
        <f t="shared" ca="1" si="763"/>
        <v>0</v>
      </c>
      <c r="GW60" s="200">
        <f t="shared" si="291"/>
        <v>0</v>
      </c>
      <c r="GX60" s="201" cm="1">
        <f t="array" ref="GX60">IF(LEFT($AG60,3)="Res",IF(OR($DW60&gt;External_Threshold,$DM60&gt;0),1*Uplift*AWE*(External),0),0)</f>
        <v>0</v>
      </c>
      <c r="GY60" s="200">
        <f t="shared" si="292"/>
        <v>0</v>
      </c>
      <c r="GZ60" s="201">
        <f t="shared" si="764"/>
        <v>0</v>
      </c>
      <c r="HA60" s="203">
        <f t="shared" si="347"/>
        <v>0</v>
      </c>
      <c r="HB60" s="54"/>
      <c r="HC60" s="54"/>
      <c r="HD60" s="54"/>
      <c r="HE60" s="54"/>
      <c r="HF60" s="54"/>
      <c r="HG60" s="201">
        <f t="shared" ca="1" si="348"/>
        <v>264886.18951375561</v>
      </c>
      <c r="HH60" s="201">
        <f t="shared" ca="1" si="349"/>
        <v>198778.85180147036</v>
      </c>
      <c r="HI60" s="201">
        <f t="shared" ca="1" si="350"/>
        <v>155566.06498576989</v>
      </c>
      <c r="HJ60" s="201">
        <f t="shared" ca="1" si="351"/>
        <v>3746.4471780028939</v>
      </c>
      <c r="HK60" s="201">
        <f t="shared" ca="1" si="352"/>
        <v>0</v>
      </c>
      <c r="HL60" s="201">
        <f t="shared" ca="1" si="353"/>
        <v>0</v>
      </c>
      <c r="HM60" s="201">
        <f t="shared" ca="1" si="354"/>
        <v>0</v>
      </c>
      <c r="HN60" s="201">
        <f t="shared" ca="1" si="355"/>
        <v>0</v>
      </c>
      <c r="HO60" s="201">
        <f t="shared" ca="1" si="356"/>
        <v>0</v>
      </c>
      <c r="HP60" s="201">
        <f t="shared" ca="1" si="357"/>
        <v>0</v>
      </c>
      <c r="HQ60" s="54"/>
    </row>
    <row r="61" spans="1:225" x14ac:dyDescent="0.3">
      <c r="A61" s="513">
        <v>43</v>
      </c>
      <c r="B61" s="514" t="s">
        <v>466</v>
      </c>
      <c r="C61" s="514" t="s">
        <v>390</v>
      </c>
      <c r="D61" s="514" t="s">
        <v>390</v>
      </c>
      <c r="E61" s="513">
        <v>1</v>
      </c>
      <c r="F61" s="515">
        <v>5.78</v>
      </c>
      <c r="G61" s="515">
        <v>5.48</v>
      </c>
      <c r="H61" s="513">
        <v>2</v>
      </c>
      <c r="I61" s="517">
        <v>1</v>
      </c>
      <c r="J61" s="518" t="s">
        <v>295</v>
      </c>
      <c r="K61" s="513">
        <f t="shared" si="724"/>
        <v>220</v>
      </c>
      <c r="L61" s="519">
        <v>7.3</v>
      </c>
      <c r="M61" s="519">
        <v>6.42</v>
      </c>
      <c r="N61" s="519">
        <v>6.12</v>
      </c>
      <c r="O61" s="519">
        <v>5.82</v>
      </c>
      <c r="P61" s="519">
        <v>5.45</v>
      </c>
      <c r="Q61" s="519">
        <v>4.97</v>
      </c>
      <c r="R61" s="519">
        <v>4.17</v>
      </c>
      <c r="S61" s="519">
        <v>0</v>
      </c>
      <c r="T61" s="519">
        <v>0</v>
      </c>
      <c r="U61" s="519">
        <v>0</v>
      </c>
      <c r="V61" s="536"/>
      <c r="W61" s="536"/>
      <c r="X61" s="536"/>
      <c r="Y61" s="536"/>
      <c r="Z61" s="536"/>
      <c r="AA61" s="536"/>
      <c r="AB61" s="536"/>
      <c r="AC61" s="536"/>
      <c r="AD61" s="536"/>
      <c r="AE61" s="536"/>
      <c r="AF61" s="54"/>
      <c r="AG61" s="204" t="str">
        <f t="shared" si="465"/>
        <v>Res1</v>
      </c>
      <c r="AH61" s="204">
        <f t="shared" si="294"/>
        <v>6</v>
      </c>
      <c r="AI61" s="204">
        <f t="shared" si="725"/>
        <v>1</v>
      </c>
      <c r="AJ61" s="54"/>
      <c r="AK61" s="74">
        <f>IFERROR(IF(H61&gt;4,0,AI61*Inputs!$C$55),0)</f>
        <v>2.6</v>
      </c>
      <c r="AL61" s="81">
        <f>IFERROR(Inputs!$C$73,0)</f>
        <v>5</v>
      </c>
      <c r="AM61" s="211">
        <f>IFERROR(Inputs!$C$74,0)</f>
        <v>0.24299999999999999</v>
      </c>
      <c r="AN61" s="446">
        <f>IFERROR(HLOOKUP(HLOOKUP(AN$17,$V$18:$AE61,COUNTA($AK$18:$AK61),FALSE),Inputs!$B$58:$H$59,2,FALSE),0)</f>
        <v>0</v>
      </c>
      <c r="AO61" s="447">
        <f t="shared" si="295"/>
        <v>0</v>
      </c>
      <c r="AP61" s="447">
        <f t="shared" si="296"/>
        <v>0</v>
      </c>
      <c r="AQ61" s="446">
        <f>IFERROR(HLOOKUP(HLOOKUP(AQ$17,$V$18:$AE61,COUNTA($AK$18:$AK61),FALSE),Inputs!$B$58:$H$59,2,FALSE),0)</f>
        <v>0</v>
      </c>
      <c r="AR61" s="447">
        <f t="shared" ref="AR61" si="846">2*$AK61*AQ61*$AL61/100*$AM61</f>
        <v>0</v>
      </c>
      <c r="AS61" s="447">
        <f t="shared" si="298"/>
        <v>0</v>
      </c>
      <c r="AT61" s="446">
        <f>IFERROR(HLOOKUP(HLOOKUP(AT$17,$V$18:$AE61,COUNTA($AK$18:$AK61),FALSE),Inputs!$B$58:$H$59,2,FALSE),0)</f>
        <v>0</v>
      </c>
      <c r="AU61" s="447">
        <f t="shared" ref="AU61" si="847">2*$AK61*AT61*$AL61/100*$AM61</f>
        <v>0</v>
      </c>
      <c r="AV61" s="447">
        <f t="shared" si="300"/>
        <v>0</v>
      </c>
      <c r="AW61" s="446">
        <f>IFERROR(HLOOKUP(HLOOKUP(AW$17,$V$18:$AE61,COUNTA($AK$18:$AK61),FALSE),Inputs!$B$58:$H$59,2,FALSE),0)</f>
        <v>0</v>
      </c>
      <c r="AX61" s="447">
        <f t="shared" ref="AX61" si="848">2*$AK61*AW61*$AL61/100*$AM61</f>
        <v>0</v>
      </c>
      <c r="AY61" s="447">
        <f t="shared" si="302"/>
        <v>0</v>
      </c>
      <c r="AZ61" s="446">
        <f>IFERROR(HLOOKUP(HLOOKUP(AZ$17,$V$18:$AE61,COUNTA($AK$18:$AK61),FALSE),Inputs!$B$58:$H$59,2,FALSE),0)</f>
        <v>0</v>
      </c>
      <c r="BA61" s="447">
        <f t="shared" ref="BA61" si="849">2*$AK61*AZ61*$AL61/100*$AM61</f>
        <v>0</v>
      </c>
      <c r="BB61" s="447">
        <f t="shared" si="304"/>
        <v>0</v>
      </c>
      <c r="BC61" s="446">
        <f>IFERROR(HLOOKUP(HLOOKUP(BC$17,$V$18:$AE61,COUNTA($AK$18:$AK61),FALSE),Inputs!$B$58:$H$59,2,FALSE),0)</f>
        <v>0</v>
      </c>
      <c r="BD61" s="447">
        <f t="shared" ref="BD61" si="850">2*$AK61*BC61*$AL61/100*$AM61</f>
        <v>0</v>
      </c>
      <c r="BE61" s="447">
        <f t="shared" si="306"/>
        <v>0</v>
      </c>
      <c r="BF61" s="446">
        <f>IFERROR(HLOOKUP(HLOOKUP(BF$17,$V$18:$AE61,COUNTA($AK$18:$AK61),FALSE),Inputs!$B$58:$H$59,2,FALSE),0)</f>
        <v>0</v>
      </c>
      <c r="BG61" s="447">
        <f t="shared" ref="BG61" si="851">2*$AK61*BF61*$AL61/100*$AM61</f>
        <v>0</v>
      </c>
      <c r="BH61" s="447">
        <f t="shared" si="308"/>
        <v>0</v>
      </c>
      <c r="BI61" s="446">
        <f>IFERROR(HLOOKUP(HLOOKUP(BI$17,$V$18:$AE61,COUNTA($AK$18:$AK61),FALSE),Inputs!$B$58:$H$59,2,FALSE),0)</f>
        <v>0</v>
      </c>
      <c r="BJ61" s="447">
        <f t="shared" ref="BJ61" si="852">2*$AK61*BI61*$AL61/100*$AM61</f>
        <v>0</v>
      </c>
      <c r="BK61" s="447">
        <f t="shared" si="310"/>
        <v>0</v>
      </c>
      <c r="BL61" s="446">
        <f>IFERROR(HLOOKUP(HLOOKUP(BL$17,$V$18:$AE61,COUNTA($AK$18:$AK61),FALSE),Inputs!$B$58:$H$59,2,FALSE),0)</f>
        <v>0</v>
      </c>
      <c r="BM61" s="447">
        <f t="shared" ref="BM61" si="853">2*$AK61*BL61*$AL61/100*$AM61</f>
        <v>0</v>
      </c>
      <c r="BN61" s="447">
        <f t="shared" si="312"/>
        <v>0</v>
      </c>
      <c r="BO61" s="446">
        <f>IFERROR(HLOOKUP(HLOOKUP(BO$17,$V$18:$AE61,COUNTA($AK$18:$AK61),FALSE),Inputs!$B$58:$H$59,2,FALSE),0)</f>
        <v>0</v>
      </c>
      <c r="BP61" s="447">
        <f t="shared" ref="BP61" si="854">2*$AK61*BO61*$AL61/100*$AM61</f>
        <v>0</v>
      </c>
      <c r="BQ61" s="447">
        <f t="shared" si="314"/>
        <v>0</v>
      </c>
      <c r="BR61" s="54"/>
      <c r="BS61" s="103">
        <f t="shared" ca="1" si="735"/>
        <v>1262.786000470333</v>
      </c>
      <c r="BT61" s="103">
        <f t="shared" ca="1" si="396"/>
        <v>723.65447018907685</v>
      </c>
      <c r="BU61" s="103">
        <f t="shared" si="397"/>
        <v>232.06298842257598</v>
      </c>
      <c r="BV61" s="103">
        <f t="shared" si="398"/>
        <v>0</v>
      </c>
      <c r="BW61" s="152">
        <f t="shared" ca="1" si="399"/>
        <v>2218.503459081986</v>
      </c>
      <c r="BX61" s="441"/>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188">
        <f t="shared" si="315"/>
        <v>1.5199999999999996</v>
      </c>
      <c r="DE61" s="188">
        <f t="shared" si="316"/>
        <v>0.63999999999999968</v>
      </c>
      <c r="DF61" s="188">
        <f t="shared" si="317"/>
        <v>0.33999999999999986</v>
      </c>
      <c r="DG61" s="188">
        <f t="shared" si="318"/>
        <v>4.0000000000000036E-2</v>
      </c>
      <c r="DH61" s="188">
        <f t="shared" si="319"/>
        <v>-0.3</v>
      </c>
      <c r="DI61" s="188">
        <f t="shared" si="320"/>
        <v>-0.3</v>
      </c>
      <c r="DJ61" s="188">
        <f t="shared" si="321"/>
        <v>-0.3</v>
      </c>
      <c r="DK61" s="188">
        <f t="shared" si="322"/>
        <v>-0.3</v>
      </c>
      <c r="DL61" s="188">
        <f t="shared" si="323"/>
        <v>-0.3</v>
      </c>
      <c r="DM61" s="188">
        <f t="shared" si="324"/>
        <v>-0.3</v>
      </c>
      <c r="DN61" s="189">
        <f t="shared" si="325"/>
        <v>1.8199999999999994</v>
      </c>
      <c r="DO61" s="189">
        <f t="shared" si="326"/>
        <v>0.9399999999999995</v>
      </c>
      <c r="DP61" s="189">
        <f t="shared" si="327"/>
        <v>0.63999999999999968</v>
      </c>
      <c r="DQ61" s="189">
        <f t="shared" si="328"/>
        <v>0.33999999999999986</v>
      </c>
      <c r="DR61" s="189">
        <f t="shared" si="329"/>
        <v>0</v>
      </c>
      <c r="DS61" s="189">
        <f t="shared" si="330"/>
        <v>0</v>
      </c>
      <c r="DT61" s="189">
        <f t="shared" si="331"/>
        <v>0</v>
      </c>
      <c r="DU61" s="189">
        <f t="shared" si="332"/>
        <v>0</v>
      </c>
      <c r="DV61" s="189">
        <f t="shared" si="333"/>
        <v>0</v>
      </c>
      <c r="DW61" s="189">
        <f t="shared" si="334"/>
        <v>0</v>
      </c>
      <c r="DX61" s="54"/>
      <c r="DY61" s="54"/>
      <c r="DZ61" s="199">
        <f t="shared" ca="1" si="736"/>
        <v>147814.37047756877</v>
      </c>
      <c r="EA61" s="200">
        <f t="shared" si="335"/>
        <v>1</v>
      </c>
      <c r="EB61" s="201">
        <f t="shared" ca="1" si="737"/>
        <v>120417.76015932886</v>
      </c>
      <c r="EC61" s="200">
        <f t="shared" si="336"/>
        <v>1</v>
      </c>
      <c r="ED61" s="201" cm="1">
        <f t="array" ref="ED61">IF(LEFT($AG61,3)="Res",IF(OR($DN61&gt;External_Threshold,$DD61&gt;0),1*Uplift*AWE*(External),0),0)</f>
        <v>15481.186685962373</v>
      </c>
      <c r="EE61" s="200">
        <f t="shared" si="337"/>
        <v>1</v>
      </c>
      <c r="EF61" s="201">
        <f t="shared" si="738"/>
        <v>0</v>
      </c>
      <c r="EG61" s="203">
        <f t="shared" si="338"/>
        <v>0</v>
      </c>
      <c r="EH61" s="199">
        <f t="shared" ca="1" si="739"/>
        <v>112052.82923299567</v>
      </c>
      <c r="EI61" s="200">
        <f t="shared" si="241"/>
        <v>1</v>
      </c>
      <c r="EJ61" s="201">
        <f t="shared" ca="1" si="740"/>
        <v>86721.04717227997</v>
      </c>
      <c r="EK61" s="200">
        <f t="shared" si="243"/>
        <v>1</v>
      </c>
      <c r="EL61" s="201" cm="1">
        <f t="array" ref="EL61">IF(LEFT($AG61,3)="Res",IF(OR($DO61&gt;External_Threshold,$DE61&gt;0),1*Uplift*AWE*(External),0),0)</f>
        <v>15481.186685962373</v>
      </c>
      <c r="EM61" s="200">
        <f t="shared" si="244"/>
        <v>1</v>
      </c>
      <c r="EN61" s="201">
        <f t="shared" si="741"/>
        <v>0</v>
      </c>
      <c r="EO61" s="203">
        <f t="shared" si="339"/>
        <v>0</v>
      </c>
      <c r="EP61" s="199">
        <f t="shared" ca="1" si="742"/>
        <v>108987.5542691751</v>
      </c>
      <c r="EQ61" s="200">
        <f t="shared" si="247"/>
        <v>1</v>
      </c>
      <c r="ER61" s="201">
        <f t="shared" ca="1" si="743"/>
        <v>66604.993200743629</v>
      </c>
      <c r="ES61" s="200">
        <f t="shared" si="249"/>
        <v>1</v>
      </c>
      <c r="ET61" s="201" cm="1">
        <f t="array" ref="ET61">IF(LEFT($AG61,3)="Res",IF(OR($DP61&gt;External_Threshold,$DF61&gt;0),1*Uplift*AWE*(External),0),0)</f>
        <v>15481.186685962373</v>
      </c>
      <c r="EU61" s="200">
        <f t="shared" si="250"/>
        <v>1</v>
      </c>
      <c r="EV61" s="201">
        <f t="shared" si="744"/>
        <v>0</v>
      </c>
      <c r="EW61" s="203">
        <f t="shared" si="340"/>
        <v>0</v>
      </c>
      <c r="EX61" s="199">
        <f t="shared" ca="1" si="745"/>
        <v>53358.490110950312</v>
      </c>
      <c r="EY61" s="200">
        <f t="shared" si="253"/>
        <v>1</v>
      </c>
      <c r="EZ61" s="201">
        <f t="shared" ca="1" si="746"/>
        <v>16139.975111030873</v>
      </c>
      <c r="FA61" s="200">
        <f t="shared" si="255"/>
        <v>1</v>
      </c>
      <c r="FB61" s="201" cm="1">
        <f t="array" ref="FB61">IF(LEFT($AG61,3)="Res",IF(OR($DQ61&gt;External_Threshold,$DG61&gt;0),1*Uplift*AWE*(External),0),0)</f>
        <v>15481.186685962373</v>
      </c>
      <c r="FC61" s="200">
        <f t="shared" si="256"/>
        <v>1</v>
      </c>
      <c r="FD61" s="201">
        <f t="shared" si="257"/>
        <v>0</v>
      </c>
      <c r="FE61" s="203">
        <f t="shared" si="341"/>
        <v>0</v>
      </c>
      <c r="FF61" s="199">
        <f t="shared" ca="1" si="747"/>
        <v>0</v>
      </c>
      <c r="FG61" s="200">
        <f t="shared" si="259"/>
        <v>0</v>
      </c>
      <c r="FH61" s="201">
        <f t="shared" ca="1" si="748"/>
        <v>0</v>
      </c>
      <c r="FI61" s="200">
        <f t="shared" si="261"/>
        <v>0</v>
      </c>
      <c r="FJ61" s="201" cm="1">
        <f t="array" ref="FJ61">IF(LEFT($AG61,3)="Res",IF(OR($DR61&gt;External_Threshold,$DH61&gt;0),1*Uplift*AWE*(External),0),0)</f>
        <v>0</v>
      </c>
      <c r="FK61" s="200">
        <f t="shared" si="262"/>
        <v>0</v>
      </c>
      <c r="FL61" s="201">
        <f t="shared" si="749"/>
        <v>0</v>
      </c>
      <c r="FM61" s="203">
        <f t="shared" si="342"/>
        <v>0</v>
      </c>
      <c r="FN61" s="199">
        <f t="shared" ca="1" si="750"/>
        <v>0</v>
      </c>
      <c r="FO61" s="200">
        <f t="shared" si="265"/>
        <v>0</v>
      </c>
      <c r="FP61" s="201">
        <f t="shared" ca="1" si="751"/>
        <v>0</v>
      </c>
      <c r="FQ61" s="200">
        <f t="shared" si="267"/>
        <v>0</v>
      </c>
      <c r="FR61" s="201" cm="1">
        <f t="array" ref="FR61">IF(LEFT($AG61,3)="Res",IF(OR($DS61&gt;External_Threshold,$DI61&gt;0),1*Uplift*AWE*(External),0),0)</f>
        <v>0</v>
      </c>
      <c r="FS61" s="200">
        <f t="shared" si="268"/>
        <v>0</v>
      </c>
      <c r="FT61" s="201">
        <f t="shared" si="752"/>
        <v>0</v>
      </c>
      <c r="FU61" s="203">
        <f t="shared" si="343"/>
        <v>0</v>
      </c>
      <c r="FV61" s="199">
        <f t="shared" ca="1" si="753"/>
        <v>0</v>
      </c>
      <c r="FW61" s="200">
        <f t="shared" si="271"/>
        <v>0</v>
      </c>
      <c r="FX61" s="201">
        <f t="shared" ca="1" si="754"/>
        <v>0</v>
      </c>
      <c r="FY61" s="200">
        <f t="shared" si="273"/>
        <v>0</v>
      </c>
      <c r="FZ61" s="201" cm="1">
        <f t="array" ref="FZ61">IF(LEFT($AG61,3)="Res",IF(OR($DT61&gt;External_Threshold,$DJ61&gt;0),1*Uplift*AWE*(External),0),0)</f>
        <v>0</v>
      </c>
      <c r="GA61" s="200">
        <f t="shared" si="274"/>
        <v>0</v>
      </c>
      <c r="GB61" s="201">
        <f t="shared" si="755"/>
        <v>0</v>
      </c>
      <c r="GC61" s="203">
        <f t="shared" si="344"/>
        <v>0</v>
      </c>
      <c r="GD61" s="199">
        <f t="shared" ca="1" si="756"/>
        <v>0</v>
      </c>
      <c r="GE61" s="200">
        <f t="shared" si="277"/>
        <v>0</v>
      </c>
      <c r="GF61" s="201">
        <f t="shared" ca="1" si="757"/>
        <v>0</v>
      </c>
      <c r="GG61" s="200">
        <f t="shared" si="279"/>
        <v>0</v>
      </c>
      <c r="GH61" s="201" cm="1">
        <f t="array" ref="GH61">IF(LEFT($AG61,3)="Res",IF(OR($DU61&gt;External_Threshold,$DK61&gt;0),1*Uplift*AWE*(External),0),0)</f>
        <v>0</v>
      </c>
      <c r="GI61" s="200">
        <f t="shared" si="280"/>
        <v>0</v>
      </c>
      <c r="GJ61" s="201">
        <f t="shared" si="758"/>
        <v>0</v>
      </c>
      <c r="GK61" s="203">
        <f t="shared" si="345"/>
        <v>0</v>
      </c>
      <c r="GL61" s="199">
        <f t="shared" ca="1" si="759"/>
        <v>0</v>
      </c>
      <c r="GM61" s="200">
        <f t="shared" si="283"/>
        <v>0</v>
      </c>
      <c r="GN61" s="201">
        <f t="shared" ca="1" si="760"/>
        <v>0</v>
      </c>
      <c r="GO61" s="200">
        <f t="shared" si="285"/>
        <v>0</v>
      </c>
      <c r="GP61" s="201" cm="1">
        <f t="array" ref="GP61">IF(LEFT($AG61,3)="Res",IF(OR($DV61&gt;External_Threshold,$DL61&gt;0),1*Uplift*AWE*(External),0),0)</f>
        <v>0</v>
      </c>
      <c r="GQ61" s="200">
        <f t="shared" si="286"/>
        <v>0</v>
      </c>
      <c r="GR61" s="201">
        <f t="shared" si="761"/>
        <v>0</v>
      </c>
      <c r="GS61" s="203">
        <f t="shared" si="346"/>
        <v>0</v>
      </c>
      <c r="GT61" s="199">
        <f t="shared" ca="1" si="762"/>
        <v>0</v>
      </c>
      <c r="GU61" s="200">
        <f t="shared" si="289"/>
        <v>0</v>
      </c>
      <c r="GV61" s="201">
        <f t="shared" ca="1" si="763"/>
        <v>0</v>
      </c>
      <c r="GW61" s="200">
        <f t="shared" si="291"/>
        <v>0</v>
      </c>
      <c r="GX61" s="201" cm="1">
        <f t="array" ref="GX61">IF(LEFT($AG61,3)="Res",IF(OR($DW61&gt;External_Threshold,$DM61&gt;0),1*Uplift*AWE*(External),0),0)</f>
        <v>0</v>
      </c>
      <c r="GY61" s="200">
        <f t="shared" si="292"/>
        <v>0</v>
      </c>
      <c r="GZ61" s="201">
        <f t="shared" si="764"/>
        <v>0</v>
      </c>
      <c r="HA61" s="203">
        <f t="shared" si="347"/>
        <v>0</v>
      </c>
      <c r="HB61" s="54"/>
      <c r="HC61" s="54"/>
      <c r="HD61" s="54"/>
      <c r="HE61" s="54"/>
      <c r="HF61" s="54"/>
      <c r="HG61" s="201">
        <f t="shared" ca="1" si="348"/>
        <v>283713.31732286001</v>
      </c>
      <c r="HH61" s="201">
        <f t="shared" ca="1" si="349"/>
        <v>214255.06309123803</v>
      </c>
      <c r="HI61" s="201">
        <f t="shared" ca="1" si="350"/>
        <v>191073.7341558811</v>
      </c>
      <c r="HJ61" s="201">
        <f t="shared" ca="1" si="351"/>
        <v>84979.651907943553</v>
      </c>
      <c r="HK61" s="201">
        <f t="shared" ca="1" si="352"/>
        <v>0</v>
      </c>
      <c r="HL61" s="201">
        <f t="shared" ca="1" si="353"/>
        <v>0</v>
      </c>
      <c r="HM61" s="201">
        <f t="shared" ca="1" si="354"/>
        <v>0</v>
      </c>
      <c r="HN61" s="201">
        <f t="shared" ca="1" si="355"/>
        <v>0</v>
      </c>
      <c r="HO61" s="201">
        <f t="shared" ca="1" si="356"/>
        <v>0</v>
      </c>
      <c r="HP61" s="201">
        <f t="shared" ca="1" si="357"/>
        <v>0</v>
      </c>
      <c r="HQ61" s="54"/>
    </row>
    <row r="62" spans="1:225" x14ac:dyDescent="0.3">
      <c r="A62" s="513">
        <v>44</v>
      </c>
      <c r="B62" s="514" t="s">
        <v>467</v>
      </c>
      <c r="C62" s="514" t="s">
        <v>390</v>
      </c>
      <c r="D62" s="514" t="s">
        <v>390</v>
      </c>
      <c r="E62" s="513">
        <v>1</v>
      </c>
      <c r="F62" s="515">
        <v>5.77</v>
      </c>
      <c r="G62" s="515">
        <v>5.26</v>
      </c>
      <c r="H62" s="513">
        <v>1</v>
      </c>
      <c r="I62" s="517">
        <v>1</v>
      </c>
      <c r="J62" s="518" t="s">
        <v>137</v>
      </c>
      <c r="K62" s="513">
        <f t="shared" si="724"/>
        <v>160</v>
      </c>
      <c r="L62" s="519">
        <v>7.3</v>
      </c>
      <c r="M62" s="519">
        <v>6.42</v>
      </c>
      <c r="N62" s="519">
        <v>6.12</v>
      </c>
      <c r="O62" s="519">
        <v>5.82</v>
      </c>
      <c r="P62" s="519">
        <v>5.45</v>
      </c>
      <c r="Q62" s="519">
        <v>4.97</v>
      </c>
      <c r="R62" s="519">
        <v>4.17</v>
      </c>
      <c r="S62" s="519">
        <v>0</v>
      </c>
      <c r="T62" s="519">
        <v>0</v>
      </c>
      <c r="U62" s="519">
        <v>0</v>
      </c>
      <c r="V62" s="536"/>
      <c r="W62" s="536"/>
      <c r="X62" s="536"/>
      <c r="Y62" s="536"/>
      <c r="Z62" s="536"/>
      <c r="AA62" s="536"/>
      <c r="AB62" s="536"/>
      <c r="AC62" s="536"/>
      <c r="AD62" s="536"/>
      <c r="AE62" s="536"/>
      <c r="AF62" s="54"/>
      <c r="AG62" s="204" t="str">
        <f t="shared" si="465"/>
        <v>Res1</v>
      </c>
      <c r="AH62" s="204">
        <f t="shared" si="294"/>
        <v>7</v>
      </c>
      <c r="AI62" s="204">
        <f t="shared" si="725"/>
        <v>1</v>
      </c>
      <c r="AJ62" s="54"/>
      <c r="AK62" s="74">
        <f>IFERROR(IF(H62&gt;4,0,AI62*Inputs!$C$55),0)</f>
        <v>2.6</v>
      </c>
      <c r="AL62" s="81">
        <f>IFERROR(Inputs!$C$73,0)</f>
        <v>5</v>
      </c>
      <c r="AM62" s="211">
        <f>IFERROR(Inputs!$C$74,0)</f>
        <v>0.24299999999999999</v>
      </c>
      <c r="AN62" s="446">
        <f>IFERROR(HLOOKUP(HLOOKUP(AN$17,$V$18:$AE62,COUNTA($AK$18:$AK62),FALSE),Inputs!$B$58:$H$59,2,FALSE),0)</f>
        <v>0</v>
      </c>
      <c r="AO62" s="447">
        <f t="shared" si="295"/>
        <v>0</v>
      </c>
      <c r="AP62" s="447">
        <f t="shared" si="296"/>
        <v>0</v>
      </c>
      <c r="AQ62" s="446">
        <f>IFERROR(HLOOKUP(HLOOKUP(AQ$17,$V$18:$AE62,COUNTA($AK$18:$AK62),FALSE),Inputs!$B$58:$H$59,2,FALSE),0)</f>
        <v>0</v>
      </c>
      <c r="AR62" s="447">
        <f t="shared" ref="AR62" si="855">2*$AK62*AQ62*$AL62/100*$AM62</f>
        <v>0</v>
      </c>
      <c r="AS62" s="447">
        <f t="shared" si="298"/>
        <v>0</v>
      </c>
      <c r="AT62" s="446">
        <f>IFERROR(HLOOKUP(HLOOKUP(AT$17,$V$18:$AE62,COUNTA($AK$18:$AK62),FALSE),Inputs!$B$58:$H$59,2,FALSE),0)</f>
        <v>0</v>
      </c>
      <c r="AU62" s="447">
        <f t="shared" ref="AU62" si="856">2*$AK62*AT62*$AL62/100*$AM62</f>
        <v>0</v>
      </c>
      <c r="AV62" s="447">
        <f t="shared" si="300"/>
        <v>0</v>
      </c>
      <c r="AW62" s="446">
        <f>IFERROR(HLOOKUP(HLOOKUP(AW$17,$V$18:$AE62,COUNTA($AK$18:$AK62),FALSE),Inputs!$B$58:$H$59,2,FALSE),0)</f>
        <v>0</v>
      </c>
      <c r="AX62" s="447">
        <f t="shared" ref="AX62" si="857">2*$AK62*AW62*$AL62/100*$AM62</f>
        <v>0</v>
      </c>
      <c r="AY62" s="447">
        <f t="shared" si="302"/>
        <v>0</v>
      </c>
      <c r="AZ62" s="446">
        <f>IFERROR(HLOOKUP(HLOOKUP(AZ$17,$V$18:$AE62,COUNTA($AK$18:$AK62),FALSE),Inputs!$B$58:$H$59,2,FALSE),0)</f>
        <v>0</v>
      </c>
      <c r="BA62" s="447">
        <f t="shared" ref="BA62" si="858">2*$AK62*AZ62*$AL62/100*$AM62</f>
        <v>0</v>
      </c>
      <c r="BB62" s="447">
        <f t="shared" si="304"/>
        <v>0</v>
      </c>
      <c r="BC62" s="446">
        <f>IFERROR(HLOOKUP(HLOOKUP(BC$17,$V$18:$AE62,COUNTA($AK$18:$AK62),FALSE),Inputs!$B$58:$H$59,2,FALSE),0)</f>
        <v>0</v>
      </c>
      <c r="BD62" s="447">
        <f t="shared" ref="BD62" si="859">2*$AK62*BC62*$AL62/100*$AM62</f>
        <v>0</v>
      </c>
      <c r="BE62" s="447">
        <f t="shared" si="306"/>
        <v>0</v>
      </c>
      <c r="BF62" s="446">
        <f>IFERROR(HLOOKUP(HLOOKUP(BF$17,$V$18:$AE62,COUNTA($AK$18:$AK62),FALSE),Inputs!$B$58:$H$59,2,FALSE),0)</f>
        <v>0</v>
      </c>
      <c r="BG62" s="447">
        <f t="shared" ref="BG62" si="860">2*$AK62*BF62*$AL62/100*$AM62</f>
        <v>0</v>
      </c>
      <c r="BH62" s="447">
        <f t="shared" si="308"/>
        <v>0</v>
      </c>
      <c r="BI62" s="446">
        <f>IFERROR(HLOOKUP(HLOOKUP(BI$17,$V$18:$AE62,COUNTA($AK$18:$AK62),FALSE),Inputs!$B$58:$H$59,2,FALSE),0)</f>
        <v>0</v>
      </c>
      <c r="BJ62" s="447">
        <f t="shared" ref="BJ62" si="861">2*$AK62*BI62*$AL62/100*$AM62</f>
        <v>0</v>
      </c>
      <c r="BK62" s="447">
        <f t="shared" si="310"/>
        <v>0</v>
      </c>
      <c r="BL62" s="446">
        <f>IFERROR(HLOOKUP(HLOOKUP(BL$17,$V$18:$AE62,COUNTA($AK$18:$AK62),FALSE),Inputs!$B$58:$H$59,2,FALSE),0)</f>
        <v>0</v>
      </c>
      <c r="BM62" s="447">
        <f t="shared" ref="BM62" si="862">2*$AK62*BL62*$AL62/100*$AM62</f>
        <v>0</v>
      </c>
      <c r="BN62" s="447">
        <f t="shared" si="312"/>
        <v>0</v>
      </c>
      <c r="BO62" s="446">
        <f>IFERROR(HLOOKUP(HLOOKUP(BO$17,$V$18:$AE62,COUNTA($AK$18:$AK62),FALSE),Inputs!$B$58:$H$59,2,FALSE),0)</f>
        <v>0</v>
      </c>
      <c r="BP62" s="447">
        <f t="shared" ref="BP62" si="863">2*$AK62*BO62*$AL62/100*$AM62</f>
        <v>0</v>
      </c>
      <c r="BQ62" s="447">
        <f t="shared" si="314"/>
        <v>0</v>
      </c>
      <c r="BR62" s="54"/>
      <c r="BS62" s="103">
        <f t="shared" ca="1" si="735"/>
        <v>1158.133700533245</v>
      </c>
      <c r="BT62" s="103">
        <f t="shared" ca="1" si="396"/>
        <v>674.69753149263795</v>
      </c>
      <c r="BU62" s="103">
        <f t="shared" si="397"/>
        <v>232.06298842257598</v>
      </c>
      <c r="BV62" s="103">
        <f t="shared" si="398"/>
        <v>0</v>
      </c>
      <c r="BW62" s="152">
        <f t="shared" ca="1" si="399"/>
        <v>2064.8942204484588</v>
      </c>
      <c r="BX62" s="441"/>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188">
        <f t="shared" si="315"/>
        <v>1.5300000000000002</v>
      </c>
      <c r="DE62" s="188">
        <f t="shared" si="316"/>
        <v>0.65000000000000036</v>
      </c>
      <c r="DF62" s="188">
        <f t="shared" si="317"/>
        <v>0.35000000000000053</v>
      </c>
      <c r="DG62" s="188">
        <f t="shared" si="318"/>
        <v>5.0000000000000711E-2</v>
      </c>
      <c r="DH62" s="188">
        <f t="shared" si="319"/>
        <v>-0.3</v>
      </c>
      <c r="DI62" s="188">
        <f t="shared" si="320"/>
        <v>-0.3</v>
      </c>
      <c r="DJ62" s="188">
        <f t="shared" si="321"/>
        <v>-0.3</v>
      </c>
      <c r="DK62" s="188">
        <f t="shared" si="322"/>
        <v>-0.3</v>
      </c>
      <c r="DL62" s="188">
        <f t="shared" si="323"/>
        <v>-0.3</v>
      </c>
      <c r="DM62" s="188">
        <f t="shared" si="324"/>
        <v>-0.3</v>
      </c>
      <c r="DN62" s="189">
        <f t="shared" si="325"/>
        <v>2.04</v>
      </c>
      <c r="DO62" s="189">
        <f t="shared" si="326"/>
        <v>1.1600000000000001</v>
      </c>
      <c r="DP62" s="189">
        <f t="shared" si="327"/>
        <v>0.86000000000000032</v>
      </c>
      <c r="DQ62" s="189">
        <f t="shared" si="328"/>
        <v>0.5600000000000005</v>
      </c>
      <c r="DR62" s="189">
        <f t="shared" si="329"/>
        <v>0.19000000000000039</v>
      </c>
      <c r="DS62" s="189">
        <f t="shared" si="330"/>
        <v>0</v>
      </c>
      <c r="DT62" s="189">
        <f t="shared" si="331"/>
        <v>0</v>
      </c>
      <c r="DU62" s="189">
        <f t="shared" si="332"/>
        <v>0</v>
      </c>
      <c r="DV62" s="189">
        <f t="shared" si="333"/>
        <v>0</v>
      </c>
      <c r="DW62" s="189">
        <f t="shared" si="334"/>
        <v>0</v>
      </c>
      <c r="DX62" s="54"/>
      <c r="DY62" s="54"/>
      <c r="DZ62" s="199">
        <f t="shared" ca="1" si="736"/>
        <v>136079.28694323849</v>
      </c>
      <c r="EA62" s="200">
        <f t="shared" si="335"/>
        <v>1</v>
      </c>
      <c r="EB62" s="201">
        <f t="shared" ca="1" si="737"/>
        <v>112578.74055311857</v>
      </c>
      <c r="EC62" s="200">
        <f t="shared" si="336"/>
        <v>1</v>
      </c>
      <c r="ED62" s="201" cm="1">
        <f t="array" ref="ED62">IF(LEFT($AG62,3)="Res",IF(OR($DN62&gt;External_Threshold,$DD62&gt;0),1*Uplift*AWE*(External),0),0)</f>
        <v>15481.186685962373</v>
      </c>
      <c r="EE62" s="200">
        <f t="shared" si="337"/>
        <v>1</v>
      </c>
      <c r="EF62" s="201">
        <f t="shared" si="738"/>
        <v>0</v>
      </c>
      <c r="EG62" s="203">
        <f t="shared" si="338"/>
        <v>0</v>
      </c>
      <c r="EH62" s="199">
        <f t="shared" ca="1" si="739"/>
        <v>102715.09346357938</v>
      </c>
      <c r="EI62" s="200">
        <f t="shared" si="241"/>
        <v>1</v>
      </c>
      <c r="EJ62" s="201">
        <f t="shared" ca="1" si="740"/>
        <v>80389.531336494736</v>
      </c>
      <c r="EK62" s="200">
        <f t="shared" si="243"/>
        <v>1</v>
      </c>
      <c r="EL62" s="201" cm="1">
        <f t="array" ref="EL62">IF(LEFT($AG62,3)="Res",IF(OR($DO62&gt;External_Threshold,$DE62&gt;0),1*Uplift*AWE*(External),0),0)</f>
        <v>15481.186685962373</v>
      </c>
      <c r="EM62" s="200">
        <f t="shared" si="244"/>
        <v>1</v>
      </c>
      <c r="EN62" s="201">
        <f t="shared" si="741"/>
        <v>0</v>
      </c>
      <c r="EO62" s="203">
        <f t="shared" si="339"/>
        <v>0</v>
      </c>
      <c r="EP62" s="199">
        <f t="shared" ca="1" si="742"/>
        <v>99905.258080077183</v>
      </c>
      <c r="EQ62" s="200">
        <f t="shared" si="247"/>
        <v>1</v>
      </c>
      <c r="ER62" s="201">
        <f t="shared" ca="1" si="743"/>
        <v>61833.743767348322</v>
      </c>
      <c r="ES62" s="200">
        <f t="shared" si="249"/>
        <v>1</v>
      </c>
      <c r="ET62" s="201" cm="1">
        <f t="array" ref="ET62">IF(LEFT($AG62,3)="Res",IF(OR($DP62&gt;External_Threshold,$DF62&gt;0),1*Uplift*AWE*(External),0),0)</f>
        <v>15481.186685962373</v>
      </c>
      <c r="EU62" s="200">
        <f t="shared" si="250"/>
        <v>1</v>
      </c>
      <c r="EV62" s="201">
        <f t="shared" si="744"/>
        <v>0</v>
      </c>
      <c r="EW62" s="203">
        <f t="shared" si="340"/>
        <v>0</v>
      </c>
      <c r="EX62" s="199">
        <f t="shared" ca="1" si="745"/>
        <v>48911.949268371121</v>
      </c>
      <c r="EY62" s="200">
        <f t="shared" si="253"/>
        <v>1</v>
      </c>
      <c r="EZ62" s="201">
        <f t="shared" ca="1" si="746"/>
        <v>15303.310518444967</v>
      </c>
      <c r="FA62" s="200">
        <f t="shared" si="255"/>
        <v>1</v>
      </c>
      <c r="FB62" s="201" cm="1">
        <f t="array" ref="FB62">IF(LEFT($AG62,3)="Res",IF(OR($DQ62&gt;External_Threshold,$DG62&gt;0),1*Uplift*AWE*(External),0),0)</f>
        <v>15481.186685962373</v>
      </c>
      <c r="FC62" s="200">
        <f t="shared" si="256"/>
        <v>1</v>
      </c>
      <c r="FD62" s="201">
        <f t="shared" si="257"/>
        <v>0</v>
      </c>
      <c r="FE62" s="203">
        <f t="shared" si="341"/>
        <v>0</v>
      </c>
      <c r="FF62" s="199">
        <f t="shared" ca="1" si="747"/>
        <v>0</v>
      </c>
      <c r="FG62" s="200">
        <f t="shared" si="259"/>
        <v>0</v>
      </c>
      <c r="FH62" s="201">
        <f t="shared" ca="1" si="748"/>
        <v>0</v>
      </c>
      <c r="FI62" s="200">
        <f t="shared" si="261"/>
        <v>0</v>
      </c>
      <c r="FJ62" s="201" cm="1">
        <f t="array" ref="FJ62">IF(LEFT($AG62,3)="Res",IF(OR($DR62&gt;External_Threshold,$DH62&gt;0),1*Uplift*AWE*(External),0),0)</f>
        <v>0</v>
      </c>
      <c r="FK62" s="200">
        <f t="shared" si="262"/>
        <v>1</v>
      </c>
      <c r="FL62" s="201">
        <f t="shared" si="749"/>
        <v>0</v>
      </c>
      <c r="FM62" s="203">
        <f t="shared" si="342"/>
        <v>0</v>
      </c>
      <c r="FN62" s="199">
        <f t="shared" ca="1" si="750"/>
        <v>0</v>
      </c>
      <c r="FO62" s="200">
        <f t="shared" si="265"/>
        <v>0</v>
      </c>
      <c r="FP62" s="201">
        <f t="shared" ca="1" si="751"/>
        <v>0</v>
      </c>
      <c r="FQ62" s="200">
        <f t="shared" si="267"/>
        <v>0</v>
      </c>
      <c r="FR62" s="201" cm="1">
        <f t="array" ref="FR62">IF(LEFT($AG62,3)="Res",IF(OR($DS62&gt;External_Threshold,$DI62&gt;0),1*Uplift*AWE*(External),0),0)</f>
        <v>0</v>
      </c>
      <c r="FS62" s="200">
        <f t="shared" si="268"/>
        <v>0</v>
      </c>
      <c r="FT62" s="201">
        <f t="shared" si="752"/>
        <v>0</v>
      </c>
      <c r="FU62" s="203">
        <f t="shared" si="343"/>
        <v>0</v>
      </c>
      <c r="FV62" s="199">
        <f t="shared" ca="1" si="753"/>
        <v>0</v>
      </c>
      <c r="FW62" s="200">
        <f t="shared" si="271"/>
        <v>0</v>
      </c>
      <c r="FX62" s="201">
        <f t="shared" ca="1" si="754"/>
        <v>0</v>
      </c>
      <c r="FY62" s="200">
        <f t="shared" si="273"/>
        <v>0</v>
      </c>
      <c r="FZ62" s="201" cm="1">
        <f t="array" ref="FZ62">IF(LEFT($AG62,3)="Res",IF(OR($DT62&gt;External_Threshold,$DJ62&gt;0),1*Uplift*AWE*(External),0),0)</f>
        <v>0</v>
      </c>
      <c r="GA62" s="200">
        <f t="shared" si="274"/>
        <v>0</v>
      </c>
      <c r="GB62" s="201">
        <f t="shared" si="755"/>
        <v>0</v>
      </c>
      <c r="GC62" s="203">
        <f t="shared" si="344"/>
        <v>0</v>
      </c>
      <c r="GD62" s="199">
        <f t="shared" ca="1" si="756"/>
        <v>0</v>
      </c>
      <c r="GE62" s="200">
        <f t="shared" si="277"/>
        <v>0</v>
      </c>
      <c r="GF62" s="201">
        <f t="shared" ca="1" si="757"/>
        <v>0</v>
      </c>
      <c r="GG62" s="200">
        <f t="shared" si="279"/>
        <v>0</v>
      </c>
      <c r="GH62" s="201" cm="1">
        <f t="array" ref="GH62">IF(LEFT($AG62,3)="Res",IF(OR($DU62&gt;External_Threshold,$DK62&gt;0),1*Uplift*AWE*(External),0),0)</f>
        <v>0</v>
      </c>
      <c r="GI62" s="200">
        <f t="shared" si="280"/>
        <v>0</v>
      </c>
      <c r="GJ62" s="201">
        <f t="shared" si="758"/>
        <v>0</v>
      </c>
      <c r="GK62" s="203">
        <f t="shared" si="345"/>
        <v>0</v>
      </c>
      <c r="GL62" s="199">
        <f t="shared" ca="1" si="759"/>
        <v>0</v>
      </c>
      <c r="GM62" s="200">
        <f t="shared" si="283"/>
        <v>0</v>
      </c>
      <c r="GN62" s="201">
        <f t="shared" ca="1" si="760"/>
        <v>0</v>
      </c>
      <c r="GO62" s="200">
        <f t="shared" si="285"/>
        <v>0</v>
      </c>
      <c r="GP62" s="201" cm="1">
        <f t="array" ref="GP62">IF(LEFT($AG62,3)="Res",IF(OR($DV62&gt;External_Threshold,$DL62&gt;0),1*Uplift*AWE*(External),0),0)</f>
        <v>0</v>
      </c>
      <c r="GQ62" s="200">
        <f t="shared" si="286"/>
        <v>0</v>
      </c>
      <c r="GR62" s="201">
        <f t="shared" si="761"/>
        <v>0</v>
      </c>
      <c r="GS62" s="203">
        <f t="shared" si="346"/>
        <v>0</v>
      </c>
      <c r="GT62" s="199">
        <f t="shared" ca="1" si="762"/>
        <v>0</v>
      </c>
      <c r="GU62" s="200">
        <f t="shared" si="289"/>
        <v>0</v>
      </c>
      <c r="GV62" s="201">
        <f t="shared" ca="1" si="763"/>
        <v>0</v>
      </c>
      <c r="GW62" s="200">
        <f t="shared" si="291"/>
        <v>0</v>
      </c>
      <c r="GX62" s="201" cm="1">
        <f t="array" ref="GX62">IF(LEFT($AG62,3)="Res",IF(OR($DW62&gt;External_Threshold,$DM62&gt;0),1*Uplift*AWE*(External),0),0)</f>
        <v>0</v>
      </c>
      <c r="GY62" s="200">
        <f t="shared" si="292"/>
        <v>0</v>
      </c>
      <c r="GZ62" s="201">
        <f t="shared" si="764"/>
        <v>0</v>
      </c>
      <c r="HA62" s="203">
        <f t="shared" si="347"/>
        <v>0</v>
      </c>
      <c r="HB62" s="54"/>
      <c r="HC62" s="54"/>
      <c r="HD62" s="54"/>
      <c r="HE62" s="54"/>
      <c r="HF62" s="54"/>
      <c r="HG62" s="201">
        <f t="shared" ca="1" si="348"/>
        <v>264139.21418231941</v>
      </c>
      <c r="HH62" s="201">
        <f t="shared" ca="1" si="349"/>
        <v>198585.81148603649</v>
      </c>
      <c r="HI62" s="201">
        <f t="shared" ca="1" si="350"/>
        <v>177220.18853338787</v>
      </c>
      <c r="HJ62" s="201">
        <f t="shared" ca="1" si="351"/>
        <v>79696.446472778465</v>
      </c>
      <c r="HK62" s="201">
        <f t="shared" ca="1" si="352"/>
        <v>0</v>
      </c>
      <c r="HL62" s="201">
        <f t="shared" ca="1" si="353"/>
        <v>0</v>
      </c>
      <c r="HM62" s="201">
        <f t="shared" ca="1" si="354"/>
        <v>0</v>
      </c>
      <c r="HN62" s="201">
        <f t="shared" ca="1" si="355"/>
        <v>0</v>
      </c>
      <c r="HO62" s="201">
        <f t="shared" ca="1" si="356"/>
        <v>0</v>
      </c>
      <c r="HP62" s="201">
        <f t="shared" ca="1" si="357"/>
        <v>0</v>
      </c>
      <c r="HQ62" s="54"/>
    </row>
    <row r="63" spans="1:225" x14ac:dyDescent="0.3">
      <c r="A63" s="513">
        <v>45</v>
      </c>
      <c r="B63" s="514" t="s">
        <v>468</v>
      </c>
      <c r="C63" s="514" t="s">
        <v>390</v>
      </c>
      <c r="D63" s="514" t="s">
        <v>390</v>
      </c>
      <c r="E63" s="513">
        <v>1</v>
      </c>
      <c r="F63" s="515">
        <v>7.37</v>
      </c>
      <c r="G63" s="515">
        <v>6.38</v>
      </c>
      <c r="H63" s="513">
        <v>1</v>
      </c>
      <c r="I63" s="517">
        <v>1</v>
      </c>
      <c r="J63" s="518" t="s">
        <v>42</v>
      </c>
      <c r="K63" s="513">
        <f t="shared" si="724"/>
        <v>90</v>
      </c>
      <c r="L63" s="519">
        <v>7.74</v>
      </c>
      <c r="M63" s="519">
        <v>6.42</v>
      </c>
      <c r="N63" s="519">
        <v>6.12</v>
      </c>
      <c r="O63" s="519">
        <v>5.82</v>
      </c>
      <c r="P63" s="519">
        <v>5.45</v>
      </c>
      <c r="Q63" s="519">
        <v>4.97</v>
      </c>
      <c r="R63" s="519">
        <v>4.17</v>
      </c>
      <c r="S63" s="519">
        <v>0</v>
      </c>
      <c r="T63" s="519">
        <v>0</v>
      </c>
      <c r="U63" s="519">
        <v>0</v>
      </c>
      <c r="V63" s="536"/>
      <c r="W63" s="536"/>
      <c r="X63" s="536"/>
      <c r="Y63" s="536"/>
      <c r="Z63" s="536"/>
      <c r="AA63" s="536"/>
      <c r="AB63" s="536"/>
      <c r="AC63" s="536"/>
      <c r="AD63" s="536"/>
      <c r="AE63" s="536"/>
      <c r="AF63" s="54"/>
      <c r="AG63" s="204" t="str">
        <f t="shared" si="465"/>
        <v>Res1</v>
      </c>
      <c r="AH63" s="204">
        <f t="shared" si="294"/>
        <v>4</v>
      </c>
      <c r="AI63" s="204">
        <f t="shared" si="725"/>
        <v>1</v>
      </c>
      <c r="AJ63" s="54"/>
      <c r="AK63" s="74">
        <f>IFERROR(IF(H63&gt;4,0,AI63*Inputs!$C$55),0)</f>
        <v>2.6</v>
      </c>
      <c r="AL63" s="81">
        <f>IFERROR(Inputs!$C$73,0)</f>
        <v>5</v>
      </c>
      <c r="AM63" s="211">
        <f>IFERROR(Inputs!$C$74,0)</f>
        <v>0.24299999999999999</v>
      </c>
      <c r="AN63" s="446">
        <f>IFERROR(HLOOKUP(HLOOKUP(AN$17,$V$18:$AE63,COUNTA($AK$18:$AK63),FALSE),Inputs!$B$58:$H$59,2,FALSE),0)</f>
        <v>0</v>
      </c>
      <c r="AO63" s="447">
        <f t="shared" si="295"/>
        <v>0</v>
      </c>
      <c r="AP63" s="447">
        <f t="shared" si="296"/>
        <v>0</v>
      </c>
      <c r="AQ63" s="446">
        <f>IFERROR(HLOOKUP(HLOOKUP(AQ$17,$V$18:$AE63,COUNTA($AK$18:$AK63),FALSE),Inputs!$B$58:$H$59,2,FALSE),0)</f>
        <v>0</v>
      </c>
      <c r="AR63" s="447">
        <f t="shared" ref="AR63" si="864">2*$AK63*AQ63*$AL63/100*$AM63</f>
        <v>0</v>
      </c>
      <c r="AS63" s="447">
        <f t="shared" si="298"/>
        <v>0</v>
      </c>
      <c r="AT63" s="446">
        <f>IFERROR(HLOOKUP(HLOOKUP(AT$17,$V$18:$AE63,COUNTA($AK$18:$AK63),FALSE),Inputs!$B$58:$H$59,2,FALSE),0)</f>
        <v>0</v>
      </c>
      <c r="AU63" s="447">
        <f t="shared" ref="AU63" si="865">2*$AK63*AT63*$AL63/100*$AM63</f>
        <v>0</v>
      </c>
      <c r="AV63" s="447">
        <f t="shared" si="300"/>
        <v>0</v>
      </c>
      <c r="AW63" s="446">
        <f>IFERROR(HLOOKUP(HLOOKUP(AW$17,$V$18:$AE63,COUNTA($AK$18:$AK63),FALSE),Inputs!$B$58:$H$59,2,FALSE),0)</f>
        <v>0</v>
      </c>
      <c r="AX63" s="447">
        <f t="shared" ref="AX63" si="866">2*$AK63*AW63*$AL63/100*$AM63</f>
        <v>0</v>
      </c>
      <c r="AY63" s="447">
        <f t="shared" si="302"/>
        <v>0</v>
      </c>
      <c r="AZ63" s="446">
        <f>IFERROR(HLOOKUP(HLOOKUP(AZ$17,$V$18:$AE63,COUNTA($AK$18:$AK63),FALSE),Inputs!$B$58:$H$59,2,FALSE),0)</f>
        <v>0</v>
      </c>
      <c r="BA63" s="447">
        <f t="shared" ref="BA63" si="867">2*$AK63*AZ63*$AL63/100*$AM63</f>
        <v>0</v>
      </c>
      <c r="BB63" s="447">
        <f t="shared" si="304"/>
        <v>0</v>
      </c>
      <c r="BC63" s="446">
        <f>IFERROR(HLOOKUP(HLOOKUP(BC$17,$V$18:$AE63,COUNTA($AK$18:$AK63),FALSE),Inputs!$B$58:$H$59,2,FALSE),0)</f>
        <v>0</v>
      </c>
      <c r="BD63" s="447">
        <f t="shared" ref="BD63" si="868">2*$AK63*BC63*$AL63/100*$AM63</f>
        <v>0</v>
      </c>
      <c r="BE63" s="447">
        <f t="shared" si="306"/>
        <v>0</v>
      </c>
      <c r="BF63" s="446">
        <f>IFERROR(HLOOKUP(HLOOKUP(BF$17,$V$18:$AE63,COUNTA($AK$18:$AK63),FALSE),Inputs!$B$58:$H$59,2,FALSE),0)</f>
        <v>0</v>
      </c>
      <c r="BG63" s="447">
        <f t="shared" ref="BG63" si="869">2*$AK63*BF63*$AL63/100*$AM63</f>
        <v>0</v>
      </c>
      <c r="BH63" s="447">
        <f t="shared" si="308"/>
        <v>0</v>
      </c>
      <c r="BI63" s="446">
        <f>IFERROR(HLOOKUP(HLOOKUP(BI$17,$V$18:$AE63,COUNTA($AK$18:$AK63),FALSE),Inputs!$B$58:$H$59,2,FALSE),0)</f>
        <v>0</v>
      </c>
      <c r="BJ63" s="447">
        <f t="shared" ref="BJ63" si="870">2*$AK63*BI63*$AL63/100*$AM63</f>
        <v>0</v>
      </c>
      <c r="BK63" s="447">
        <f t="shared" si="310"/>
        <v>0</v>
      </c>
      <c r="BL63" s="446">
        <f>IFERROR(HLOOKUP(HLOOKUP(BL$17,$V$18:$AE63,COUNTA($AK$18:$AK63),FALSE),Inputs!$B$58:$H$59,2,FALSE),0)</f>
        <v>0</v>
      </c>
      <c r="BM63" s="447">
        <f t="shared" ref="BM63" si="871">2*$AK63*BL63*$AL63/100*$AM63</f>
        <v>0</v>
      </c>
      <c r="BN63" s="447">
        <f t="shared" si="312"/>
        <v>0</v>
      </c>
      <c r="BO63" s="446">
        <f>IFERROR(HLOOKUP(HLOOKUP(BO$17,$V$18:$AE63,COUNTA($AK$18:$AK63),FALSE),Inputs!$B$58:$H$59,2,FALSE),0)</f>
        <v>0</v>
      </c>
      <c r="BP63" s="447">
        <f t="shared" ref="BP63" si="872">2*$AK63*BO63*$AL63/100*$AM63</f>
        <v>0</v>
      </c>
      <c r="BQ63" s="447">
        <f t="shared" si="314"/>
        <v>0</v>
      </c>
      <c r="BR63" s="54"/>
      <c r="BS63" s="103">
        <f t="shared" ca="1" si="735"/>
        <v>40.665981186685961</v>
      </c>
      <c r="BT63" s="103">
        <f t="shared" ca="1" si="396"/>
        <v>30.666519338027467</v>
      </c>
      <c r="BU63" s="103">
        <f t="shared" si="397"/>
        <v>15.403780752532562</v>
      </c>
      <c r="BV63" s="103">
        <f t="shared" si="398"/>
        <v>0</v>
      </c>
      <c r="BW63" s="152">
        <f t="shared" ca="1" si="399"/>
        <v>86.736281277245979</v>
      </c>
      <c r="BX63" s="441"/>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188">
        <f t="shared" si="315"/>
        <v>0.37000000000000011</v>
      </c>
      <c r="DE63" s="188">
        <f t="shared" si="316"/>
        <v>-0.3</v>
      </c>
      <c r="DF63" s="188">
        <f t="shared" si="317"/>
        <v>-0.3</v>
      </c>
      <c r="DG63" s="188">
        <f t="shared" si="318"/>
        <v>-0.3</v>
      </c>
      <c r="DH63" s="188">
        <f t="shared" si="319"/>
        <v>-0.3</v>
      </c>
      <c r="DI63" s="188">
        <f t="shared" si="320"/>
        <v>-0.3</v>
      </c>
      <c r="DJ63" s="188">
        <f t="shared" si="321"/>
        <v>-0.3</v>
      </c>
      <c r="DK63" s="188">
        <f t="shared" si="322"/>
        <v>-0.3</v>
      </c>
      <c r="DL63" s="188">
        <f t="shared" si="323"/>
        <v>-0.3</v>
      </c>
      <c r="DM63" s="188">
        <f t="shared" si="324"/>
        <v>-0.3</v>
      </c>
      <c r="DN63" s="189">
        <f t="shared" si="325"/>
        <v>1.3600000000000003</v>
      </c>
      <c r="DO63" s="189">
        <f t="shared" si="326"/>
        <v>4.0000000000000036E-2</v>
      </c>
      <c r="DP63" s="189">
        <f t="shared" si="327"/>
        <v>0</v>
      </c>
      <c r="DQ63" s="189">
        <f t="shared" si="328"/>
        <v>0</v>
      </c>
      <c r="DR63" s="189">
        <f t="shared" si="329"/>
        <v>0</v>
      </c>
      <c r="DS63" s="189">
        <f t="shared" si="330"/>
        <v>0</v>
      </c>
      <c r="DT63" s="189">
        <f t="shared" si="331"/>
        <v>0</v>
      </c>
      <c r="DU63" s="189">
        <f t="shared" si="332"/>
        <v>0</v>
      </c>
      <c r="DV63" s="189">
        <f t="shared" si="333"/>
        <v>0</v>
      </c>
      <c r="DW63" s="189">
        <f t="shared" si="334"/>
        <v>0</v>
      </c>
      <c r="DX63" s="54"/>
      <c r="DY63" s="54"/>
      <c r="DZ63" s="199">
        <f t="shared" ca="1" si="736"/>
        <v>40870.332850940664</v>
      </c>
      <c r="EA63" s="200">
        <f t="shared" si="335"/>
        <v>1</v>
      </c>
      <c r="EB63" s="201">
        <f t="shared" ca="1" si="737"/>
        <v>30820.622450278861</v>
      </c>
      <c r="EC63" s="200">
        <f t="shared" si="336"/>
        <v>1</v>
      </c>
      <c r="ED63" s="201" cm="1">
        <f t="array" ref="ED63">IF(LEFT($AG63,3)="Res",IF(OR($DN63&gt;External_Threshold,$DD63&gt;0),1*Uplift*AWE*(External),0),0)</f>
        <v>15481.186685962373</v>
      </c>
      <c r="EE63" s="200">
        <f t="shared" si="337"/>
        <v>1</v>
      </c>
      <c r="EF63" s="201">
        <f t="shared" si="738"/>
        <v>0</v>
      </c>
      <c r="EG63" s="203">
        <f t="shared" si="338"/>
        <v>0</v>
      </c>
      <c r="EH63" s="199">
        <f t="shared" ca="1" si="739"/>
        <v>0</v>
      </c>
      <c r="EI63" s="200">
        <f t="shared" si="241"/>
        <v>0</v>
      </c>
      <c r="EJ63" s="201">
        <f t="shared" ca="1" si="740"/>
        <v>0</v>
      </c>
      <c r="EK63" s="200">
        <f t="shared" si="243"/>
        <v>0</v>
      </c>
      <c r="EL63" s="201" cm="1">
        <f t="array" ref="EL63">IF(LEFT($AG63,3)="Res",IF(OR($DO63&gt;External_Threshold,$DE63&gt;0),1*Uplift*AWE*(External),0),0)</f>
        <v>0</v>
      </c>
      <c r="EM63" s="200">
        <f t="shared" si="244"/>
        <v>1</v>
      </c>
      <c r="EN63" s="201">
        <f t="shared" si="741"/>
        <v>0</v>
      </c>
      <c r="EO63" s="203">
        <f t="shared" si="339"/>
        <v>0</v>
      </c>
      <c r="EP63" s="199">
        <f t="shared" ca="1" si="742"/>
        <v>0</v>
      </c>
      <c r="EQ63" s="200">
        <f t="shared" si="247"/>
        <v>0</v>
      </c>
      <c r="ER63" s="201">
        <f t="shared" ca="1" si="743"/>
        <v>0</v>
      </c>
      <c r="ES63" s="200">
        <f t="shared" si="249"/>
        <v>0</v>
      </c>
      <c r="ET63" s="201" cm="1">
        <f t="array" ref="ET63">IF(LEFT($AG63,3)="Res",IF(OR($DP63&gt;External_Threshold,$DF63&gt;0),1*Uplift*AWE*(External),0),0)</f>
        <v>0</v>
      </c>
      <c r="EU63" s="200">
        <f t="shared" si="250"/>
        <v>0</v>
      </c>
      <c r="EV63" s="201">
        <f t="shared" si="744"/>
        <v>0</v>
      </c>
      <c r="EW63" s="203">
        <f t="shared" si="340"/>
        <v>0</v>
      </c>
      <c r="EX63" s="199">
        <f t="shared" ca="1" si="745"/>
        <v>0</v>
      </c>
      <c r="EY63" s="200">
        <f t="shared" si="253"/>
        <v>0</v>
      </c>
      <c r="EZ63" s="201">
        <f t="shared" ca="1" si="746"/>
        <v>0</v>
      </c>
      <c r="FA63" s="200">
        <f t="shared" si="255"/>
        <v>0</v>
      </c>
      <c r="FB63" s="201" cm="1">
        <f t="array" ref="FB63">IF(LEFT($AG63,3)="Res",IF(OR($DQ63&gt;External_Threshold,$DG63&gt;0),1*Uplift*AWE*(External),0),0)</f>
        <v>0</v>
      </c>
      <c r="FC63" s="200">
        <f t="shared" si="256"/>
        <v>0</v>
      </c>
      <c r="FD63" s="201">
        <f t="shared" si="257"/>
        <v>0</v>
      </c>
      <c r="FE63" s="203">
        <f t="shared" si="341"/>
        <v>0</v>
      </c>
      <c r="FF63" s="199">
        <f t="shared" ca="1" si="747"/>
        <v>0</v>
      </c>
      <c r="FG63" s="200">
        <f t="shared" si="259"/>
        <v>0</v>
      </c>
      <c r="FH63" s="201">
        <f t="shared" ca="1" si="748"/>
        <v>0</v>
      </c>
      <c r="FI63" s="200">
        <f t="shared" si="261"/>
        <v>0</v>
      </c>
      <c r="FJ63" s="201" cm="1">
        <f t="array" ref="FJ63">IF(LEFT($AG63,3)="Res",IF(OR($DR63&gt;External_Threshold,$DH63&gt;0),1*Uplift*AWE*(External),0),0)</f>
        <v>0</v>
      </c>
      <c r="FK63" s="200">
        <f t="shared" si="262"/>
        <v>0</v>
      </c>
      <c r="FL63" s="201">
        <f t="shared" si="749"/>
        <v>0</v>
      </c>
      <c r="FM63" s="203">
        <f t="shared" si="342"/>
        <v>0</v>
      </c>
      <c r="FN63" s="199">
        <f t="shared" ca="1" si="750"/>
        <v>0</v>
      </c>
      <c r="FO63" s="200">
        <f t="shared" si="265"/>
        <v>0</v>
      </c>
      <c r="FP63" s="201">
        <f t="shared" ca="1" si="751"/>
        <v>0</v>
      </c>
      <c r="FQ63" s="200">
        <f t="shared" si="267"/>
        <v>0</v>
      </c>
      <c r="FR63" s="201" cm="1">
        <f t="array" ref="FR63">IF(LEFT($AG63,3)="Res",IF(OR($DS63&gt;External_Threshold,$DI63&gt;0),1*Uplift*AWE*(External),0),0)</f>
        <v>0</v>
      </c>
      <c r="FS63" s="200">
        <f t="shared" si="268"/>
        <v>0</v>
      </c>
      <c r="FT63" s="201">
        <f t="shared" si="752"/>
        <v>0</v>
      </c>
      <c r="FU63" s="203">
        <f t="shared" si="343"/>
        <v>0</v>
      </c>
      <c r="FV63" s="199">
        <f t="shared" ca="1" si="753"/>
        <v>0</v>
      </c>
      <c r="FW63" s="200">
        <f t="shared" si="271"/>
        <v>0</v>
      </c>
      <c r="FX63" s="201">
        <f t="shared" ca="1" si="754"/>
        <v>0</v>
      </c>
      <c r="FY63" s="200">
        <f t="shared" si="273"/>
        <v>0</v>
      </c>
      <c r="FZ63" s="201" cm="1">
        <f t="array" ref="FZ63">IF(LEFT($AG63,3)="Res",IF(OR($DT63&gt;External_Threshold,$DJ63&gt;0),1*Uplift*AWE*(External),0),0)</f>
        <v>0</v>
      </c>
      <c r="GA63" s="200">
        <f t="shared" si="274"/>
        <v>0</v>
      </c>
      <c r="GB63" s="201">
        <f t="shared" si="755"/>
        <v>0</v>
      </c>
      <c r="GC63" s="203">
        <f t="shared" si="344"/>
        <v>0</v>
      </c>
      <c r="GD63" s="199">
        <f t="shared" ca="1" si="756"/>
        <v>0</v>
      </c>
      <c r="GE63" s="200">
        <f t="shared" si="277"/>
        <v>0</v>
      </c>
      <c r="GF63" s="201">
        <f t="shared" ca="1" si="757"/>
        <v>0</v>
      </c>
      <c r="GG63" s="200">
        <f t="shared" si="279"/>
        <v>0</v>
      </c>
      <c r="GH63" s="201" cm="1">
        <f t="array" ref="GH63">IF(LEFT($AG63,3)="Res",IF(OR($DU63&gt;External_Threshold,$DK63&gt;0),1*Uplift*AWE*(External),0),0)</f>
        <v>0</v>
      </c>
      <c r="GI63" s="200">
        <f t="shared" si="280"/>
        <v>0</v>
      </c>
      <c r="GJ63" s="201">
        <f t="shared" si="758"/>
        <v>0</v>
      </c>
      <c r="GK63" s="203">
        <f t="shared" si="345"/>
        <v>0</v>
      </c>
      <c r="GL63" s="199">
        <f t="shared" ca="1" si="759"/>
        <v>0</v>
      </c>
      <c r="GM63" s="200">
        <f t="shared" si="283"/>
        <v>0</v>
      </c>
      <c r="GN63" s="201">
        <f t="shared" ca="1" si="760"/>
        <v>0</v>
      </c>
      <c r="GO63" s="200">
        <f t="shared" si="285"/>
        <v>0</v>
      </c>
      <c r="GP63" s="201" cm="1">
        <f t="array" ref="GP63">IF(LEFT($AG63,3)="Res",IF(OR($DV63&gt;External_Threshold,$DL63&gt;0),1*Uplift*AWE*(External),0),0)</f>
        <v>0</v>
      </c>
      <c r="GQ63" s="200">
        <f t="shared" si="286"/>
        <v>0</v>
      </c>
      <c r="GR63" s="201">
        <f t="shared" si="761"/>
        <v>0</v>
      </c>
      <c r="GS63" s="203">
        <f t="shared" si="346"/>
        <v>0</v>
      </c>
      <c r="GT63" s="199">
        <f t="shared" ca="1" si="762"/>
        <v>0</v>
      </c>
      <c r="GU63" s="200">
        <f t="shared" si="289"/>
        <v>0</v>
      </c>
      <c r="GV63" s="201">
        <f t="shared" ca="1" si="763"/>
        <v>0</v>
      </c>
      <c r="GW63" s="200">
        <f t="shared" si="291"/>
        <v>0</v>
      </c>
      <c r="GX63" s="201" cm="1">
        <f t="array" ref="GX63">IF(LEFT($AG63,3)="Res",IF(OR($DW63&gt;External_Threshold,$DM63&gt;0),1*Uplift*AWE*(External),0),0)</f>
        <v>0</v>
      </c>
      <c r="GY63" s="200">
        <f t="shared" si="292"/>
        <v>0</v>
      </c>
      <c r="GZ63" s="201">
        <f t="shared" si="764"/>
        <v>0</v>
      </c>
      <c r="HA63" s="203">
        <f t="shared" si="347"/>
        <v>0</v>
      </c>
      <c r="HB63" s="54"/>
      <c r="HC63" s="54"/>
      <c r="HD63" s="54"/>
      <c r="HE63" s="54"/>
      <c r="HF63" s="54"/>
      <c r="HG63" s="201">
        <f t="shared" ca="1" si="348"/>
        <v>87172.141987181894</v>
      </c>
      <c r="HH63" s="201">
        <f t="shared" ca="1" si="349"/>
        <v>0</v>
      </c>
      <c r="HI63" s="201">
        <f t="shared" ca="1" si="350"/>
        <v>0</v>
      </c>
      <c r="HJ63" s="201">
        <f t="shared" ca="1" si="351"/>
        <v>0</v>
      </c>
      <c r="HK63" s="201">
        <f t="shared" ca="1" si="352"/>
        <v>0</v>
      </c>
      <c r="HL63" s="201">
        <f t="shared" ca="1" si="353"/>
        <v>0</v>
      </c>
      <c r="HM63" s="201">
        <f t="shared" ca="1" si="354"/>
        <v>0</v>
      </c>
      <c r="HN63" s="201">
        <f t="shared" ca="1" si="355"/>
        <v>0</v>
      </c>
      <c r="HO63" s="201">
        <f t="shared" ca="1" si="356"/>
        <v>0</v>
      </c>
      <c r="HP63" s="201">
        <f t="shared" ca="1" si="357"/>
        <v>0</v>
      </c>
      <c r="HQ63" s="54"/>
    </row>
    <row r="64" spans="1:225" x14ac:dyDescent="0.3">
      <c r="A64" s="513">
        <v>46</v>
      </c>
      <c r="B64" s="514" t="s">
        <v>469</v>
      </c>
      <c r="C64" s="514" t="s">
        <v>390</v>
      </c>
      <c r="D64" s="514" t="s">
        <v>390</v>
      </c>
      <c r="E64" s="513">
        <v>1</v>
      </c>
      <c r="F64" s="515">
        <v>6.87</v>
      </c>
      <c r="G64" s="515">
        <v>6.07</v>
      </c>
      <c r="H64" s="513">
        <v>1</v>
      </c>
      <c r="I64" s="517">
        <v>1</v>
      </c>
      <c r="J64" s="518" t="s">
        <v>43</v>
      </c>
      <c r="K64" s="513">
        <f t="shared" si="724"/>
        <v>180</v>
      </c>
      <c r="L64" s="519">
        <v>7.74</v>
      </c>
      <c r="M64" s="519">
        <v>6.42</v>
      </c>
      <c r="N64" s="519">
        <v>6.12</v>
      </c>
      <c r="O64" s="519">
        <v>5.82</v>
      </c>
      <c r="P64" s="519">
        <v>5.45</v>
      </c>
      <c r="Q64" s="519">
        <v>4.97</v>
      </c>
      <c r="R64" s="519">
        <v>4.17</v>
      </c>
      <c r="S64" s="519">
        <v>0</v>
      </c>
      <c r="T64" s="519">
        <v>0</v>
      </c>
      <c r="U64" s="519">
        <v>0</v>
      </c>
      <c r="V64" s="536"/>
      <c r="W64" s="536"/>
      <c r="X64" s="536"/>
      <c r="Y64" s="536"/>
      <c r="Z64" s="536"/>
      <c r="AA64" s="536"/>
      <c r="AB64" s="536"/>
      <c r="AC64" s="536"/>
      <c r="AD64" s="536"/>
      <c r="AE64" s="536"/>
      <c r="AF64" s="54"/>
      <c r="AG64" s="204" t="str">
        <f t="shared" si="465"/>
        <v>Res1</v>
      </c>
      <c r="AH64" s="204">
        <f t="shared" si="294"/>
        <v>5</v>
      </c>
      <c r="AI64" s="204">
        <f t="shared" si="725"/>
        <v>1</v>
      </c>
      <c r="AJ64" s="54"/>
      <c r="AK64" s="74">
        <f>IFERROR(IF(H64&gt;4,0,AI64*Inputs!$C$55),0)</f>
        <v>2.6</v>
      </c>
      <c r="AL64" s="81">
        <f>IFERROR(Inputs!$C$73,0)</f>
        <v>5</v>
      </c>
      <c r="AM64" s="211">
        <f>IFERROR(Inputs!$C$74,0)</f>
        <v>0.24299999999999999</v>
      </c>
      <c r="AN64" s="446">
        <f>IFERROR(HLOOKUP(HLOOKUP(AN$17,$V$18:$AE64,COUNTA($AK$18:$AK64),FALSE),Inputs!$B$58:$H$59,2,FALSE),0)</f>
        <v>0</v>
      </c>
      <c r="AO64" s="447">
        <f t="shared" si="295"/>
        <v>0</v>
      </c>
      <c r="AP64" s="447">
        <f t="shared" si="296"/>
        <v>0</v>
      </c>
      <c r="AQ64" s="446">
        <f>IFERROR(HLOOKUP(HLOOKUP(AQ$17,$V$18:$AE64,COUNTA($AK$18:$AK64),FALSE),Inputs!$B$58:$H$59,2,FALSE),0)</f>
        <v>0</v>
      </c>
      <c r="AR64" s="447">
        <f t="shared" ref="AR64" si="873">2*$AK64*AQ64*$AL64/100*$AM64</f>
        <v>0</v>
      </c>
      <c r="AS64" s="447">
        <f t="shared" si="298"/>
        <v>0</v>
      </c>
      <c r="AT64" s="446">
        <f>IFERROR(HLOOKUP(HLOOKUP(AT$17,$V$18:$AE64,COUNTA($AK$18:$AK64),FALSE),Inputs!$B$58:$H$59,2,FALSE),0)</f>
        <v>0</v>
      </c>
      <c r="AU64" s="447">
        <f t="shared" ref="AU64" si="874">2*$AK64*AT64*$AL64/100*$AM64</f>
        <v>0</v>
      </c>
      <c r="AV64" s="447">
        <f t="shared" si="300"/>
        <v>0</v>
      </c>
      <c r="AW64" s="446">
        <f>IFERROR(HLOOKUP(HLOOKUP(AW$17,$V$18:$AE64,COUNTA($AK$18:$AK64),FALSE),Inputs!$B$58:$H$59,2,FALSE),0)</f>
        <v>0</v>
      </c>
      <c r="AX64" s="447">
        <f t="shared" ref="AX64" si="875">2*$AK64*AW64*$AL64/100*$AM64</f>
        <v>0</v>
      </c>
      <c r="AY64" s="447">
        <f t="shared" si="302"/>
        <v>0</v>
      </c>
      <c r="AZ64" s="446">
        <f>IFERROR(HLOOKUP(HLOOKUP(AZ$17,$V$18:$AE64,COUNTA($AK$18:$AK64),FALSE),Inputs!$B$58:$H$59,2,FALSE),0)</f>
        <v>0</v>
      </c>
      <c r="BA64" s="447">
        <f t="shared" ref="BA64" si="876">2*$AK64*AZ64*$AL64/100*$AM64</f>
        <v>0</v>
      </c>
      <c r="BB64" s="447">
        <f t="shared" si="304"/>
        <v>0</v>
      </c>
      <c r="BC64" s="446">
        <f>IFERROR(HLOOKUP(HLOOKUP(BC$17,$V$18:$AE64,COUNTA($AK$18:$AK64),FALSE),Inputs!$B$58:$H$59,2,FALSE),0)</f>
        <v>0</v>
      </c>
      <c r="BD64" s="447">
        <f t="shared" ref="BD64" si="877">2*$AK64*BC64*$AL64/100*$AM64</f>
        <v>0</v>
      </c>
      <c r="BE64" s="447">
        <f t="shared" si="306"/>
        <v>0</v>
      </c>
      <c r="BF64" s="446">
        <f>IFERROR(HLOOKUP(HLOOKUP(BF$17,$V$18:$AE64,COUNTA($AK$18:$AK64),FALSE),Inputs!$B$58:$H$59,2,FALSE),0)</f>
        <v>0</v>
      </c>
      <c r="BG64" s="447">
        <f t="shared" ref="BG64" si="878">2*$AK64*BF64*$AL64/100*$AM64</f>
        <v>0</v>
      </c>
      <c r="BH64" s="447">
        <f t="shared" si="308"/>
        <v>0</v>
      </c>
      <c r="BI64" s="446">
        <f>IFERROR(HLOOKUP(HLOOKUP(BI$17,$V$18:$AE64,COUNTA($AK$18:$AK64),FALSE),Inputs!$B$58:$H$59,2,FALSE),0)</f>
        <v>0</v>
      </c>
      <c r="BJ64" s="447">
        <f t="shared" ref="BJ64" si="879">2*$AK64*BI64*$AL64/100*$AM64</f>
        <v>0</v>
      </c>
      <c r="BK64" s="447">
        <f t="shared" si="310"/>
        <v>0</v>
      </c>
      <c r="BL64" s="446">
        <f>IFERROR(HLOOKUP(HLOOKUP(BL$17,$V$18:$AE64,COUNTA($AK$18:$AK64),FALSE),Inputs!$B$58:$H$59,2,FALSE),0)</f>
        <v>0</v>
      </c>
      <c r="BM64" s="447">
        <f t="shared" ref="BM64" si="880">2*$AK64*BL64*$AL64/100*$AM64</f>
        <v>0</v>
      </c>
      <c r="BN64" s="447">
        <f t="shared" si="312"/>
        <v>0</v>
      </c>
      <c r="BO64" s="446">
        <f>IFERROR(HLOOKUP(HLOOKUP(BO$17,$V$18:$AE64,COUNTA($AK$18:$AK64),FALSE),Inputs!$B$58:$H$59,2,FALSE),0)</f>
        <v>0</v>
      </c>
      <c r="BP64" s="447">
        <f t="shared" ref="BP64" si="881">2*$AK64*BO64*$AL64/100*$AM64</f>
        <v>0</v>
      </c>
      <c r="BQ64" s="447">
        <f t="shared" si="314"/>
        <v>0</v>
      </c>
      <c r="BR64" s="54"/>
      <c r="BS64" s="103">
        <f t="shared" ca="1" si="735"/>
        <v>86.669372404124459</v>
      </c>
      <c r="BT64" s="103">
        <f t="shared" ca="1" si="396"/>
        <v>77.310667067950604</v>
      </c>
      <c r="BU64" s="103">
        <f t="shared" si="397"/>
        <v>54.02934153400868</v>
      </c>
      <c r="BV64" s="103">
        <f t="shared" si="398"/>
        <v>0</v>
      </c>
      <c r="BW64" s="152">
        <f t="shared" ca="1" si="399"/>
        <v>218.00938100608374</v>
      </c>
      <c r="BX64" s="441"/>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188">
        <f t="shared" si="315"/>
        <v>0.87000000000000011</v>
      </c>
      <c r="DE64" s="188">
        <f t="shared" si="316"/>
        <v>-0.3</v>
      </c>
      <c r="DF64" s="188">
        <f t="shared" si="317"/>
        <v>-0.3</v>
      </c>
      <c r="DG64" s="188">
        <f t="shared" si="318"/>
        <v>-0.3</v>
      </c>
      <c r="DH64" s="188">
        <f t="shared" si="319"/>
        <v>-0.3</v>
      </c>
      <c r="DI64" s="188">
        <f t="shared" si="320"/>
        <v>-0.3</v>
      </c>
      <c r="DJ64" s="188">
        <f t="shared" si="321"/>
        <v>-0.3</v>
      </c>
      <c r="DK64" s="188">
        <f t="shared" si="322"/>
        <v>-0.3</v>
      </c>
      <c r="DL64" s="188">
        <f t="shared" si="323"/>
        <v>-0.3</v>
      </c>
      <c r="DM64" s="188">
        <f t="shared" si="324"/>
        <v>-0.3</v>
      </c>
      <c r="DN64" s="189">
        <f t="shared" si="325"/>
        <v>1.67</v>
      </c>
      <c r="DO64" s="189">
        <f t="shared" si="326"/>
        <v>0.34999999999999964</v>
      </c>
      <c r="DP64" s="189">
        <f t="shared" si="327"/>
        <v>4.9999999999999822E-2</v>
      </c>
      <c r="DQ64" s="189">
        <f t="shared" si="328"/>
        <v>0</v>
      </c>
      <c r="DR64" s="189">
        <f t="shared" si="329"/>
        <v>0</v>
      </c>
      <c r="DS64" s="189">
        <f t="shared" si="330"/>
        <v>0</v>
      </c>
      <c r="DT64" s="189">
        <f t="shared" si="331"/>
        <v>0</v>
      </c>
      <c r="DU64" s="189">
        <f t="shared" si="332"/>
        <v>0</v>
      </c>
      <c r="DV64" s="189">
        <f t="shared" si="333"/>
        <v>0</v>
      </c>
      <c r="DW64" s="189">
        <f t="shared" si="334"/>
        <v>0</v>
      </c>
      <c r="DX64" s="54"/>
      <c r="DY64" s="54"/>
      <c r="DZ64" s="199">
        <f t="shared" ca="1" si="736"/>
        <v>87104.896888567295</v>
      </c>
      <c r="EA64" s="200">
        <f t="shared" si="335"/>
        <v>1</v>
      </c>
      <c r="EB64" s="201">
        <f t="shared" ca="1" si="737"/>
        <v>77699.16288236242</v>
      </c>
      <c r="EC64" s="200">
        <f t="shared" si="336"/>
        <v>1</v>
      </c>
      <c r="ED64" s="201" cm="1">
        <f t="array" ref="ED64">IF(LEFT($AG64,3)="Res",IF(OR($DN64&gt;External_Threshold,$DD64&gt;0),1*Uplift*AWE*(External),0),0)</f>
        <v>15481.186685962373</v>
      </c>
      <c r="EE64" s="200">
        <f t="shared" si="337"/>
        <v>1</v>
      </c>
      <c r="EF64" s="201">
        <f t="shared" si="738"/>
        <v>0</v>
      </c>
      <c r="EG64" s="203">
        <f t="shared" si="338"/>
        <v>0</v>
      </c>
      <c r="EH64" s="199">
        <f t="shared" ca="1" si="739"/>
        <v>0</v>
      </c>
      <c r="EI64" s="200">
        <f t="shared" si="241"/>
        <v>0</v>
      </c>
      <c r="EJ64" s="201">
        <f t="shared" ca="1" si="740"/>
        <v>0</v>
      </c>
      <c r="EK64" s="200">
        <f t="shared" si="243"/>
        <v>0</v>
      </c>
      <c r="EL64" s="201" cm="1">
        <f t="array" ref="EL64">IF(LEFT($AG64,3)="Res",IF(OR($DO64&gt;External_Threshold,$DE64&gt;0),1*Uplift*AWE*(External),0),0)</f>
        <v>15481.186685962373</v>
      </c>
      <c r="EM64" s="200">
        <f t="shared" si="244"/>
        <v>1</v>
      </c>
      <c r="EN64" s="201">
        <f t="shared" si="741"/>
        <v>0</v>
      </c>
      <c r="EO64" s="203">
        <f t="shared" si="339"/>
        <v>0</v>
      </c>
      <c r="EP64" s="199">
        <f t="shared" ca="1" si="742"/>
        <v>0</v>
      </c>
      <c r="EQ64" s="200">
        <f t="shared" si="247"/>
        <v>0</v>
      </c>
      <c r="ER64" s="201">
        <f t="shared" ca="1" si="743"/>
        <v>0</v>
      </c>
      <c r="ES64" s="200">
        <f t="shared" si="249"/>
        <v>0</v>
      </c>
      <c r="ET64" s="201" cm="1">
        <f t="array" ref="ET64">IF(LEFT($AG64,3)="Res",IF(OR($DP64&gt;External_Threshold,$DF64&gt;0),1*Uplift*AWE*(External),0),0)</f>
        <v>0</v>
      </c>
      <c r="EU64" s="200">
        <f t="shared" si="250"/>
        <v>1</v>
      </c>
      <c r="EV64" s="201">
        <f t="shared" si="744"/>
        <v>0</v>
      </c>
      <c r="EW64" s="203">
        <f t="shared" si="340"/>
        <v>0</v>
      </c>
      <c r="EX64" s="199">
        <f t="shared" ca="1" si="745"/>
        <v>0</v>
      </c>
      <c r="EY64" s="200">
        <f t="shared" si="253"/>
        <v>0</v>
      </c>
      <c r="EZ64" s="201">
        <f t="shared" ca="1" si="746"/>
        <v>0</v>
      </c>
      <c r="FA64" s="200">
        <f t="shared" si="255"/>
        <v>0</v>
      </c>
      <c r="FB64" s="201" cm="1">
        <f t="array" ref="FB64">IF(LEFT($AG64,3)="Res",IF(OR($DQ64&gt;External_Threshold,$DG64&gt;0),1*Uplift*AWE*(External),0),0)</f>
        <v>0</v>
      </c>
      <c r="FC64" s="200">
        <f t="shared" si="256"/>
        <v>0</v>
      </c>
      <c r="FD64" s="201">
        <f t="shared" si="257"/>
        <v>0</v>
      </c>
      <c r="FE64" s="203">
        <f t="shared" si="341"/>
        <v>0</v>
      </c>
      <c r="FF64" s="199">
        <f t="shared" ca="1" si="747"/>
        <v>0</v>
      </c>
      <c r="FG64" s="200">
        <f t="shared" si="259"/>
        <v>0</v>
      </c>
      <c r="FH64" s="201">
        <f t="shared" ca="1" si="748"/>
        <v>0</v>
      </c>
      <c r="FI64" s="200">
        <f t="shared" si="261"/>
        <v>0</v>
      </c>
      <c r="FJ64" s="201" cm="1">
        <f t="array" ref="FJ64">IF(LEFT($AG64,3)="Res",IF(OR($DR64&gt;External_Threshold,$DH64&gt;0),1*Uplift*AWE*(External),0),0)</f>
        <v>0</v>
      </c>
      <c r="FK64" s="200">
        <f t="shared" si="262"/>
        <v>0</v>
      </c>
      <c r="FL64" s="201">
        <f t="shared" si="749"/>
        <v>0</v>
      </c>
      <c r="FM64" s="203">
        <f t="shared" si="342"/>
        <v>0</v>
      </c>
      <c r="FN64" s="199">
        <f t="shared" ca="1" si="750"/>
        <v>0</v>
      </c>
      <c r="FO64" s="200">
        <f t="shared" si="265"/>
        <v>0</v>
      </c>
      <c r="FP64" s="201">
        <f t="shared" ca="1" si="751"/>
        <v>0</v>
      </c>
      <c r="FQ64" s="200">
        <f t="shared" si="267"/>
        <v>0</v>
      </c>
      <c r="FR64" s="201" cm="1">
        <f t="array" ref="FR64">IF(LEFT($AG64,3)="Res",IF(OR($DS64&gt;External_Threshold,$DI64&gt;0),1*Uplift*AWE*(External),0),0)</f>
        <v>0</v>
      </c>
      <c r="FS64" s="200">
        <f t="shared" si="268"/>
        <v>0</v>
      </c>
      <c r="FT64" s="201">
        <f t="shared" si="752"/>
        <v>0</v>
      </c>
      <c r="FU64" s="203">
        <f t="shared" si="343"/>
        <v>0</v>
      </c>
      <c r="FV64" s="199">
        <f t="shared" ca="1" si="753"/>
        <v>0</v>
      </c>
      <c r="FW64" s="200">
        <f t="shared" si="271"/>
        <v>0</v>
      </c>
      <c r="FX64" s="201">
        <f t="shared" ca="1" si="754"/>
        <v>0</v>
      </c>
      <c r="FY64" s="200">
        <f t="shared" si="273"/>
        <v>0</v>
      </c>
      <c r="FZ64" s="201" cm="1">
        <f t="array" ref="FZ64">IF(LEFT($AG64,3)="Res",IF(OR($DT64&gt;External_Threshold,$DJ64&gt;0),1*Uplift*AWE*(External),0),0)</f>
        <v>0</v>
      </c>
      <c r="GA64" s="200">
        <f t="shared" si="274"/>
        <v>0</v>
      </c>
      <c r="GB64" s="201">
        <f t="shared" si="755"/>
        <v>0</v>
      </c>
      <c r="GC64" s="203">
        <f t="shared" si="344"/>
        <v>0</v>
      </c>
      <c r="GD64" s="199">
        <f t="shared" ca="1" si="756"/>
        <v>0</v>
      </c>
      <c r="GE64" s="200">
        <f t="shared" si="277"/>
        <v>0</v>
      </c>
      <c r="GF64" s="201">
        <f t="shared" ca="1" si="757"/>
        <v>0</v>
      </c>
      <c r="GG64" s="200">
        <f t="shared" si="279"/>
        <v>0</v>
      </c>
      <c r="GH64" s="201" cm="1">
        <f t="array" ref="GH64">IF(LEFT($AG64,3)="Res",IF(OR($DU64&gt;External_Threshold,$DK64&gt;0),1*Uplift*AWE*(External),0),0)</f>
        <v>0</v>
      </c>
      <c r="GI64" s="200">
        <f t="shared" si="280"/>
        <v>0</v>
      </c>
      <c r="GJ64" s="201">
        <f t="shared" si="758"/>
        <v>0</v>
      </c>
      <c r="GK64" s="203">
        <f t="shared" si="345"/>
        <v>0</v>
      </c>
      <c r="GL64" s="199">
        <f t="shared" ca="1" si="759"/>
        <v>0</v>
      </c>
      <c r="GM64" s="200">
        <f t="shared" si="283"/>
        <v>0</v>
      </c>
      <c r="GN64" s="201">
        <f t="shared" ca="1" si="760"/>
        <v>0</v>
      </c>
      <c r="GO64" s="200">
        <f t="shared" si="285"/>
        <v>0</v>
      </c>
      <c r="GP64" s="201" cm="1">
        <f t="array" ref="GP64">IF(LEFT($AG64,3)="Res",IF(OR($DV64&gt;External_Threshold,$DL64&gt;0),1*Uplift*AWE*(External),0),0)</f>
        <v>0</v>
      </c>
      <c r="GQ64" s="200">
        <f t="shared" si="286"/>
        <v>0</v>
      </c>
      <c r="GR64" s="201">
        <f t="shared" si="761"/>
        <v>0</v>
      </c>
      <c r="GS64" s="203">
        <f t="shared" si="346"/>
        <v>0</v>
      </c>
      <c r="GT64" s="199">
        <f t="shared" ca="1" si="762"/>
        <v>0</v>
      </c>
      <c r="GU64" s="200">
        <f t="shared" si="289"/>
        <v>0</v>
      </c>
      <c r="GV64" s="201">
        <f t="shared" ca="1" si="763"/>
        <v>0</v>
      </c>
      <c r="GW64" s="200">
        <f t="shared" si="291"/>
        <v>0</v>
      </c>
      <c r="GX64" s="201" cm="1">
        <f t="array" ref="GX64">IF(LEFT($AG64,3)="Res",IF(OR($DW64&gt;External_Threshold,$DM64&gt;0),1*Uplift*AWE*(External),0),0)</f>
        <v>0</v>
      </c>
      <c r="GY64" s="200">
        <f t="shared" si="292"/>
        <v>0</v>
      </c>
      <c r="GZ64" s="201">
        <f t="shared" si="764"/>
        <v>0</v>
      </c>
      <c r="HA64" s="203">
        <f t="shared" si="347"/>
        <v>0</v>
      </c>
      <c r="HB64" s="54"/>
      <c r="HC64" s="54"/>
      <c r="HD64" s="54"/>
      <c r="HE64" s="54"/>
      <c r="HF64" s="54"/>
      <c r="HG64" s="201">
        <f t="shared" ca="1" si="348"/>
        <v>180285.24645689208</v>
      </c>
      <c r="HH64" s="201">
        <f t="shared" ca="1" si="349"/>
        <v>15481.186685962373</v>
      </c>
      <c r="HI64" s="201">
        <f t="shared" ca="1" si="350"/>
        <v>0</v>
      </c>
      <c r="HJ64" s="201">
        <f t="shared" ca="1" si="351"/>
        <v>0</v>
      </c>
      <c r="HK64" s="201">
        <f t="shared" ca="1" si="352"/>
        <v>0</v>
      </c>
      <c r="HL64" s="201">
        <f t="shared" ca="1" si="353"/>
        <v>0</v>
      </c>
      <c r="HM64" s="201">
        <f t="shared" ca="1" si="354"/>
        <v>0</v>
      </c>
      <c r="HN64" s="201">
        <f t="shared" ca="1" si="355"/>
        <v>0</v>
      </c>
      <c r="HO64" s="201">
        <f t="shared" ca="1" si="356"/>
        <v>0</v>
      </c>
      <c r="HP64" s="201">
        <f t="shared" ca="1" si="357"/>
        <v>0</v>
      </c>
      <c r="HQ64" s="54"/>
    </row>
    <row r="65" spans="1:225" x14ac:dyDescent="0.3">
      <c r="A65" s="513">
        <v>47</v>
      </c>
      <c r="B65" s="514" t="s">
        <v>470</v>
      </c>
      <c r="C65" s="514" t="s">
        <v>390</v>
      </c>
      <c r="D65" s="514" t="s">
        <v>390</v>
      </c>
      <c r="E65" s="513">
        <v>1</v>
      </c>
      <c r="F65" s="515">
        <v>5.37</v>
      </c>
      <c r="G65" s="515">
        <v>4.62</v>
      </c>
      <c r="H65" s="513">
        <v>1</v>
      </c>
      <c r="I65" s="517">
        <v>1</v>
      </c>
      <c r="J65" s="518" t="s">
        <v>44</v>
      </c>
      <c r="K65" s="513">
        <f t="shared" si="724"/>
        <v>240</v>
      </c>
      <c r="L65" s="519">
        <v>8.7199999999999989</v>
      </c>
      <c r="M65" s="519">
        <v>6.5299999999999994</v>
      </c>
      <c r="N65" s="519">
        <v>6.2299999999999995</v>
      </c>
      <c r="O65" s="519">
        <v>5.93</v>
      </c>
      <c r="P65" s="519">
        <v>5.47</v>
      </c>
      <c r="Q65" s="519">
        <v>5</v>
      </c>
      <c r="R65" s="519">
        <v>4.2</v>
      </c>
      <c r="S65" s="519">
        <v>0</v>
      </c>
      <c r="T65" s="519">
        <v>0</v>
      </c>
      <c r="U65" s="519">
        <v>0</v>
      </c>
      <c r="V65" s="536"/>
      <c r="W65" s="536"/>
      <c r="X65" s="536"/>
      <c r="Y65" s="536"/>
      <c r="Z65" s="536"/>
      <c r="AA65" s="536"/>
      <c r="AB65" s="536"/>
      <c r="AC65" s="536"/>
      <c r="AD65" s="536"/>
      <c r="AE65" s="536"/>
      <c r="AF65" s="54"/>
      <c r="AG65" s="204" t="str">
        <f t="shared" si="465"/>
        <v>Res1</v>
      </c>
      <c r="AH65" s="204">
        <f t="shared" si="294"/>
        <v>6</v>
      </c>
      <c r="AI65" s="204">
        <f t="shared" si="725"/>
        <v>1</v>
      </c>
      <c r="AJ65" s="54"/>
      <c r="AK65" s="74">
        <f>IFERROR(IF(H65&gt;4,0,AI65*Inputs!$C$55),0)</f>
        <v>2.6</v>
      </c>
      <c r="AL65" s="81">
        <f>IFERROR(Inputs!$C$73,0)</f>
        <v>5</v>
      </c>
      <c r="AM65" s="211">
        <f>IFERROR(Inputs!$C$74,0)</f>
        <v>0.24299999999999999</v>
      </c>
      <c r="AN65" s="446">
        <f>IFERROR(HLOOKUP(HLOOKUP(AN$17,$V$18:$AE65,COUNTA($AK$18:$AK65),FALSE),Inputs!$B$58:$H$59,2,FALSE),0)</f>
        <v>0</v>
      </c>
      <c r="AO65" s="447">
        <f t="shared" si="295"/>
        <v>0</v>
      </c>
      <c r="AP65" s="447">
        <f t="shared" si="296"/>
        <v>0</v>
      </c>
      <c r="AQ65" s="446">
        <f>IFERROR(HLOOKUP(HLOOKUP(AQ$17,$V$18:$AE65,COUNTA($AK$18:$AK65),FALSE),Inputs!$B$58:$H$59,2,FALSE),0)</f>
        <v>0</v>
      </c>
      <c r="AR65" s="447">
        <f t="shared" ref="AR65" si="882">2*$AK65*AQ65*$AL65/100*$AM65</f>
        <v>0</v>
      </c>
      <c r="AS65" s="447">
        <f t="shared" si="298"/>
        <v>0</v>
      </c>
      <c r="AT65" s="446">
        <f>IFERROR(HLOOKUP(HLOOKUP(AT$17,$V$18:$AE65,COUNTA($AK$18:$AK65),FALSE),Inputs!$B$58:$H$59,2,FALSE),0)</f>
        <v>0</v>
      </c>
      <c r="AU65" s="447">
        <f t="shared" ref="AU65" si="883">2*$AK65*AT65*$AL65/100*$AM65</f>
        <v>0</v>
      </c>
      <c r="AV65" s="447">
        <f t="shared" si="300"/>
        <v>0</v>
      </c>
      <c r="AW65" s="446">
        <f>IFERROR(HLOOKUP(HLOOKUP(AW$17,$V$18:$AE65,COUNTA($AK$18:$AK65),FALSE),Inputs!$B$58:$H$59,2,FALSE),0)</f>
        <v>0</v>
      </c>
      <c r="AX65" s="447">
        <f t="shared" ref="AX65" si="884">2*$AK65*AW65*$AL65/100*$AM65</f>
        <v>0</v>
      </c>
      <c r="AY65" s="447">
        <f t="shared" si="302"/>
        <v>0</v>
      </c>
      <c r="AZ65" s="446">
        <f>IFERROR(HLOOKUP(HLOOKUP(AZ$17,$V$18:$AE65,COUNTA($AK$18:$AK65),FALSE),Inputs!$B$58:$H$59,2,FALSE),0)</f>
        <v>0</v>
      </c>
      <c r="BA65" s="447">
        <f t="shared" ref="BA65" si="885">2*$AK65*AZ65*$AL65/100*$AM65</f>
        <v>0</v>
      </c>
      <c r="BB65" s="447">
        <f t="shared" si="304"/>
        <v>0</v>
      </c>
      <c r="BC65" s="446">
        <f>IFERROR(HLOOKUP(HLOOKUP(BC$17,$V$18:$AE65,COUNTA($AK$18:$AK65),FALSE),Inputs!$B$58:$H$59,2,FALSE),0)</f>
        <v>0</v>
      </c>
      <c r="BD65" s="447">
        <f t="shared" ref="BD65" si="886">2*$AK65*BC65*$AL65/100*$AM65</f>
        <v>0</v>
      </c>
      <c r="BE65" s="447">
        <f t="shared" si="306"/>
        <v>0</v>
      </c>
      <c r="BF65" s="446">
        <f>IFERROR(HLOOKUP(HLOOKUP(BF$17,$V$18:$AE65,COUNTA($AK$18:$AK65),FALSE),Inputs!$B$58:$H$59,2,FALSE),0)</f>
        <v>0</v>
      </c>
      <c r="BG65" s="447">
        <f t="shared" ref="BG65" si="887">2*$AK65*BF65*$AL65/100*$AM65</f>
        <v>0</v>
      </c>
      <c r="BH65" s="447">
        <f t="shared" si="308"/>
        <v>0</v>
      </c>
      <c r="BI65" s="446">
        <f>IFERROR(HLOOKUP(HLOOKUP(BI$17,$V$18:$AE65,COUNTA($AK$18:$AK65),FALSE),Inputs!$B$58:$H$59,2,FALSE),0)</f>
        <v>0</v>
      </c>
      <c r="BJ65" s="447">
        <f t="shared" ref="BJ65" si="888">2*$AK65*BI65*$AL65/100*$AM65</f>
        <v>0</v>
      </c>
      <c r="BK65" s="447">
        <f t="shared" si="310"/>
        <v>0</v>
      </c>
      <c r="BL65" s="446">
        <f>IFERROR(HLOOKUP(HLOOKUP(BL$17,$V$18:$AE65,COUNTA($AK$18:$AK65),FALSE),Inputs!$B$58:$H$59,2,FALSE),0)</f>
        <v>0</v>
      </c>
      <c r="BM65" s="447">
        <f t="shared" ref="BM65" si="889">2*$AK65*BL65*$AL65/100*$AM65</f>
        <v>0</v>
      </c>
      <c r="BN65" s="447">
        <f t="shared" si="312"/>
        <v>0</v>
      </c>
      <c r="BO65" s="446">
        <f>IFERROR(HLOOKUP(HLOOKUP(BO$17,$V$18:$AE65,COUNTA($AK$18:$AK65),FALSE),Inputs!$B$58:$H$59,2,FALSE),0)</f>
        <v>0</v>
      </c>
      <c r="BP65" s="447">
        <f t="shared" ref="BP65" si="890">2*$AK65*BO65*$AL65/100*$AM65</f>
        <v>0</v>
      </c>
      <c r="BQ65" s="447">
        <f t="shared" si="314"/>
        <v>0</v>
      </c>
      <c r="BR65" s="54"/>
      <c r="BS65" s="103">
        <f t="shared" ca="1" si="735"/>
        <v>3801.2420332561514</v>
      </c>
      <c r="BT65" s="103">
        <f t="shared" ca="1" si="396"/>
        <v>1963.2863165463255</v>
      </c>
      <c r="BU65" s="103">
        <f t="shared" si="397"/>
        <v>1160.9341895803186</v>
      </c>
      <c r="BV65" s="103">
        <f t="shared" si="398"/>
        <v>0</v>
      </c>
      <c r="BW65" s="152">
        <f t="shared" ca="1" si="399"/>
        <v>6925.4625393827955</v>
      </c>
      <c r="BX65" s="441"/>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188">
        <f t="shared" si="315"/>
        <v>3.3499999999999988</v>
      </c>
      <c r="DE65" s="188">
        <f t="shared" si="316"/>
        <v>1.1599999999999993</v>
      </c>
      <c r="DF65" s="188">
        <f t="shared" si="317"/>
        <v>0.85999999999999943</v>
      </c>
      <c r="DG65" s="188">
        <f t="shared" si="318"/>
        <v>0.55999999999999961</v>
      </c>
      <c r="DH65" s="188">
        <f t="shared" si="319"/>
        <v>9.9999999999999645E-2</v>
      </c>
      <c r="DI65" s="188">
        <f t="shared" si="320"/>
        <v>-0.3</v>
      </c>
      <c r="DJ65" s="188">
        <f t="shared" si="321"/>
        <v>-0.3</v>
      </c>
      <c r="DK65" s="188">
        <f t="shared" si="322"/>
        <v>-0.3</v>
      </c>
      <c r="DL65" s="188">
        <f t="shared" si="323"/>
        <v>-0.3</v>
      </c>
      <c r="DM65" s="188">
        <f t="shared" si="324"/>
        <v>-0.3</v>
      </c>
      <c r="DN65" s="189">
        <f t="shared" si="325"/>
        <v>4.0999999999999988</v>
      </c>
      <c r="DO65" s="189">
        <f t="shared" si="326"/>
        <v>1.9099999999999993</v>
      </c>
      <c r="DP65" s="189">
        <f t="shared" si="327"/>
        <v>1.6099999999999994</v>
      </c>
      <c r="DQ65" s="189">
        <f t="shared" si="328"/>
        <v>1.3099999999999996</v>
      </c>
      <c r="DR65" s="189">
        <f t="shared" si="329"/>
        <v>0.84999999999999964</v>
      </c>
      <c r="DS65" s="189">
        <f t="shared" si="330"/>
        <v>0.37999999999999989</v>
      </c>
      <c r="DT65" s="189">
        <f t="shared" si="331"/>
        <v>0</v>
      </c>
      <c r="DU65" s="189">
        <f t="shared" si="332"/>
        <v>0</v>
      </c>
      <c r="DV65" s="189">
        <f t="shared" si="333"/>
        <v>0</v>
      </c>
      <c r="DW65" s="189">
        <f t="shared" si="334"/>
        <v>0</v>
      </c>
      <c r="DX65" s="54"/>
      <c r="DY65" s="54"/>
      <c r="DZ65" s="199">
        <f t="shared" ca="1" si="736"/>
        <v>209346.9271587072</v>
      </c>
      <c r="EA65" s="200">
        <f t="shared" si="335"/>
        <v>1</v>
      </c>
      <c r="EB65" s="201">
        <f t="shared" ca="1" si="737"/>
        <v>129139.423223123</v>
      </c>
      <c r="EC65" s="200">
        <f t="shared" si="336"/>
        <v>1</v>
      </c>
      <c r="ED65" s="201" cm="1">
        <f t="array" ref="ED65">IF(LEFT($AG65,3)="Res",IF(OR($DN65&gt;External_Threshold,$DD65&gt;0),1*Uplift*AWE*(External),0),0)</f>
        <v>15481.186685962373</v>
      </c>
      <c r="EE65" s="200">
        <f t="shared" si="337"/>
        <v>1</v>
      </c>
      <c r="EF65" s="201">
        <f t="shared" si="738"/>
        <v>0</v>
      </c>
      <c r="EG65" s="203">
        <f t="shared" si="338"/>
        <v>0</v>
      </c>
      <c r="EH65" s="199">
        <f t="shared" ca="1" si="739"/>
        <v>127787.90738060781</v>
      </c>
      <c r="EI65" s="200">
        <f t="shared" si="241"/>
        <v>1</v>
      </c>
      <c r="EJ65" s="201">
        <f t="shared" ca="1" si="740"/>
        <v>114086.24432354364</v>
      </c>
      <c r="EK65" s="200">
        <f t="shared" si="243"/>
        <v>1</v>
      </c>
      <c r="EL65" s="201" cm="1">
        <f t="array" ref="EL65">IF(LEFT($AG65,3)="Res",IF(OR($DO65&gt;External_Threshold,$DE65&gt;0),1*Uplift*AWE*(External),0),0)</f>
        <v>15481.186685962373</v>
      </c>
      <c r="EM65" s="200">
        <f t="shared" si="244"/>
        <v>1</v>
      </c>
      <c r="EN65" s="201">
        <f t="shared" si="741"/>
        <v>0</v>
      </c>
      <c r="EO65" s="203">
        <f t="shared" si="339"/>
        <v>0</v>
      </c>
      <c r="EP65" s="199">
        <f t="shared" ca="1" si="742"/>
        <v>116139.86251808972</v>
      </c>
      <c r="EQ65" s="200">
        <f t="shared" si="247"/>
        <v>1</v>
      </c>
      <c r="ER65" s="201">
        <f t="shared" ca="1" si="743"/>
        <v>99407.217176483216</v>
      </c>
      <c r="ES65" s="200">
        <f t="shared" si="249"/>
        <v>1</v>
      </c>
      <c r="ET65" s="201" cm="1">
        <f t="array" ref="ET65">IF(LEFT($AG65,3)="Res",IF(OR($DP65&gt;External_Threshold,$DF65&gt;0),1*Uplift*AWE*(External),0),0)</f>
        <v>15481.186685962373</v>
      </c>
      <c r="EU65" s="200">
        <f t="shared" si="250"/>
        <v>1</v>
      </c>
      <c r="EV65" s="201">
        <f t="shared" si="744"/>
        <v>0</v>
      </c>
      <c r="EW65" s="203">
        <f t="shared" si="340"/>
        <v>0</v>
      </c>
      <c r="EX65" s="199">
        <f t="shared" ca="1" si="745"/>
        <v>110009.31259044864</v>
      </c>
      <c r="EY65" s="200">
        <f t="shared" si="253"/>
        <v>1</v>
      </c>
      <c r="EZ65" s="201">
        <f t="shared" ca="1" si="746"/>
        <v>80922.605027321159</v>
      </c>
      <c r="FA65" s="200">
        <f t="shared" si="255"/>
        <v>1</v>
      </c>
      <c r="FB65" s="201" cm="1">
        <f t="array" ref="FB65">IF(LEFT($AG65,3)="Res",IF(OR($DQ65&gt;External_Threshold,$DG65&gt;0),1*Uplift*AWE*(External),0),0)</f>
        <v>15481.186685962373</v>
      </c>
      <c r="FC65" s="200">
        <f t="shared" si="256"/>
        <v>1</v>
      </c>
      <c r="FD65" s="201">
        <f t="shared" si="257"/>
        <v>0</v>
      </c>
      <c r="FE65" s="203">
        <f t="shared" si="341"/>
        <v>0</v>
      </c>
      <c r="FF65" s="199">
        <f t="shared" ca="1" si="747"/>
        <v>99224.085865894856</v>
      </c>
      <c r="FG65" s="200">
        <f t="shared" si="259"/>
        <v>1</v>
      </c>
      <c r="FH65" s="201">
        <f t="shared" ca="1" si="748"/>
        <v>27279.950222061747</v>
      </c>
      <c r="FI65" s="200">
        <f t="shared" si="261"/>
        <v>1</v>
      </c>
      <c r="FJ65" s="201" cm="1">
        <f t="array" ref="FJ65">IF(LEFT($AG65,3)="Res",IF(OR($DR65&gt;External_Threshold,$DH65&gt;0),1*Uplift*AWE*(External),0),0)</f>
        <v>15481.186685962373</v>
      </c>
      <c r="FK65" s="200">
        <f t="shared" si="262"/>
        <v>1</v>
      </c>
      <c r="FL65" s="201">
        <f t="shared" si="749"/>
        <v>0</v>
      </c>
      <c r="FM65" s="203">
        <f t="shared" si="342"/>
        <v>0</v>
      </c>
      <c r="FN65" s="199">
        <f t="shared" ca="1" si="750"/>
        <v>0</v>
      </c>
      <c r="FO65" s="200">
        <f t="shared" si="265"/>
        <v>0</v>
      </c>
      <c r="FP65" s="201">
        <f t="shared" ca="1" si="751"/>
        <v>0</v>
      </c>
      <c r="FQ65" s="200">
        <f t="shared" si="267"/>
        <v>0</v>
      </c>
      <c r="FR65" s="201" cm="1">
        <f t="array" ref="FR65">IF(LEFT($AG65,3)="Res",IF(OR($DS65&gt;External_Threshold,$DI65&gt;0),1*Uplift*AWE*(External),0),0)</f>
        <v>15481.186685962373</v>
      </c>
      <c r="FS65" s="200">
        <f t="shared" si="268"/>
        <v>1</v>
      </c>
      <c r="FT65" s="201">
        <f t="shared" si="752"/>
        <v>0</v>
      </c>
      <c r="FU65" s="203">
        <f t="shared" si="343"/>
        <v>0</v>
      </c>
      <c r="FV65" s="199">
        <f t="shared" ca="1" si="753"/>
        <v>0</v>
      </c>
      <c r="FW65" s="200">
        <f t="shared" si="271"/>
        <v>0</v>
      </c>
      <c r="FX65" s="201">
        <f t="shared" ca="1" si="754"/>
        <v>0</v>
      </c>
      <c r="FY65" s="200">
        <f t="shared" si="273"/>
        <v>0</v>
      </c>
      <c r="FZ65" s="201" cm="1">
        <f t="array" ref="FZ65">IF(LEFT($AG65,3)="Res",IF(OR($DT65&gt;External_Threshold,$DJ65&gt;0),1*Uplift*AWE*(External),0),0)</f>
        <v>0</v>
      </c>
      <c r="GA65" s="200">
        <f t="shared" si="274"/>
        <v>0</v>
      </c>
      <c r="GB65" s="201">
        <f t="shared" si="755"/>
        <v>0</v>
      </c>
      <c r="GC65" s="203">
        <f t="shared" si="344"/>
        <v>0</v>
      </c>
      <c r="GD65" s="199">
        <f t="shared" ca="1" si="756"/>
        <v>0</v>
      </c>
      <c r="GE65" s="200">
        <f t="shared" si="277"/>
        <v>0</v>
      </c>
      <c r="GF65" s="201">
        <f t="shared" ca="1" si="757"/>
        <v>0</v>
      </c>
      <c r="GG65" s="200">
        <f t="shared" si="279"/>
        <v>0</v>
      </c>
      <c r="GH65" s="201" cm="1">
        <f t="array" ref="GH65">IF(LEFT($AG65,3)="Res",IF(OR($DU65&gt;External_Threshold,$DK65&gt;0),1*Uplift*AWE*(External),0),0)</f>
        <v>0</v>
      </c>
      <c r="GI65" s="200">
        <f t="shared" si="280"/>
        <v>0</v>
      </c>
      <c r="GJ65" s="201">
        <f t="shared" si="758"/>
        <v>0</v>
      </c>
      <c r="GK65" s="203">
        <f t="shared" si="345"/>
        <v>0</v>
      </c>
      <c r="GL65" s="199">
        <f t="shared" ca="1" si="759"/>
        <v>0</v>
      </c>
      <c r="GM65" s="200">
        <f t="shared" si="283"/>
        <v>0</v>
      </c>
      <c r="GN65" s="201">
        <f t="shared" ca="1" si="760"/>
        <v>0</v>
      </c>
      <c r="GO65" s="200">
        <f t="shared" si="285"/>
        <v>0</v>
      </c>
      <c r="GP65" s="201" cm="1">
        <f t="array" ref="GP65">IF(LEFT($AG65,3)="Res",IF(OR($DV65&gt;External_Threshold,$DL65&gt;0),1*Uplift*AWE*(External),0),0)</f>
        <v>0</v>
      </c>
      <c r="GQ65" s="200">
        <f t="shared" si="286"/>
        <v>0</v>
      </c>
      <c r="GR65" s="201">
        <f t="shared" si="761"/>
        <v>0</v>
      </c>
      <c r="GS65" s="203">
        <f t="shared" si="346"/>
        <v>0</v>
      </c>
      <c r="GT65" s="199">
        <f t="shared" ca="1" si="762"/>
        <v>0</v>
      </c>
      <c r="GU65" s="200">
        <f t="shared" si="289"/>
        <v>0</v>
      </c>
      <c r="GV65" s="201">
        <f t="shared" ca="1" si="763"/>
        <v>0</v>
      </c>
      <c r="GW65" s="200">
        <f t="shared" si="291"/>
        <v>0</v>
      </c>
      <c r="GX65" s="201" cm="1">
        <f t="array" ref="GX65">IF(LEFT($AG65,3)="Res",IF(OR($DW65&gt;External_Threshold,$DM65&gt;0),1*Uplift*AWE*(External),0),0)</f>
        <v>0</v>
      </c>
      <c r="GY65" s="200">
        <f t="shared" si="292"/>
        <v>0</v>
      </c>
      <c r="GZ65" s="201">
        <f t="shared" si="764"/>
        <v>0</v>
      </c>
      <c r="HA65" s="203">
        <f t="shared" si="347"/>
        <v>0</v>
      </c>
      <c r="HB65" s="54"/>
      <c r="HC65" s="54"/>
      <c r="HD65" s="54"/>
      <c r="HE65" s="54"/>
      <c r="HF65" s="54"/>
      <c r="HG65" s="201">
        <f t="shared" ca="1" si="348"/>
        <v>353967.53706779255</v>
      </c>
      <c r="HH65" s="201">
        <f t="shared" ca="1" si="349"/>
        <v>257355.33839011381</v>
      </c>
      <c r="HI65" s="201">
        <f t="shared" ca="1" si="350"/>
        <v>231028.26638053532</v>
      </c>
      <c r="HJ65" s="201">
        <f t="shared" ca="1" si="351"/>
        <v>206413.10430373217</v>
      </c>
      <c r="HK65" s="201">
        <f t="shared" ca="1" si="352"/>
        <v>141985.22277391897</v>
      </c>
      <c r="HL65" s="201">
        <f t="shared" ca="1" si="353"/>
        <v>15481.186685962373</v>
      </c>
      <c r="HM65" s="201">
        <f t="shared" ca="1" si="354"/>
        <v>0</v>
      </c>
      <c r="HN65" s="201">
        <f t="shared" ca="1" si="355"/>
        <v>0</v>
      </c>
      <c r="HO65" s="201">
        <f t="shared" ca="1" si="356"/>
        <v>0</v>
      </c>
      <c r="HP65" s="201">
        <f t="shared" ca="1" si="357"/>
        <v>0</v>
      </c>
      <c r="HQ65" s="54"/>
    </row>
    <row r="66" spans="1:225" x14ac:dyDescent="0.3">
      <c r="A66" s="513">
        <v>48</v>
      </c>
      <c r="B66" s="514" t="s">
        <v>471</v>
      </c>
      <c r="C66" s="514" t="s">
        <v>390</v>
      </c>
      <c r="D66" s="514" t="s">
        <v>390</v>
      </c>
      <c r="E66" s="513">
        <v>1</v>
      </c>
      <c r="F66" s="515">
        <v>5.0999999999999996</v>
      </c>
      <c r="G66" s="515">
        <v>4.3</v>
      </c>
      <c r="H66" s="513">
        <v>1</v>
      </c>
      <c r="I66" s="517">
        <v>1</v>
      </c>
      <c r="J66" s="518" t="s">
        <v>295</v>
      </c>
      <c r="K66" s="513">
        <f t="shared" si="724"/>
        <v>220</v>
      </c>
      <c r="L66" s="519">
        <v>8.74</v>
      </c>
      <c r="M66" s="519">
        <v>6.54</v>
      </c>
      <c r="N66" s="519">
        <v>6.24</v>
      </c>
      <c r="O66" s="519">
        <v>5.94</v>
      </c>
      <c r="P66" s="519">
        <v>5.47</v>
      </c>
      <c r="Q66" s="519">
        <v>5</v>
      </c>
      <c r="R66" s="519">
        <v>4.2</v>
      </c>
      <c r="S66" s="519">
        <v>0</v>
      </c>
      <c r="T66" s="519">
        <v>0</v>
      </c>
      <c r="U66" s="519">
        <v>0</v>
      </c>
      <c r="V66" s="536"/>
      <c r="W66" s="536"/>
      <c r="X66" s="536"/>
      <c r="Y66" s="536"/>
      <c r="Z66" s="536"/>
      <c r="AA66" s="536"/>
      <c r="AB66" s="536"/>
      <c r="AC66" s="536"/>
      <c r="AD66" s="536"/>
      <c r="AE66" s="536"/>
      <c r="AF66" s="54"/>
      <c r="AG66" s="204" t="str">
        <f t="shared" si="465"/>
        <v>Res1</v>
      </c>
      <c r="AH66" s="204">
        <f t="shared" si="294"/>
        <v>6</v>
      </c>
      <c r="AI66" s="204">
        <f t="shared" si="725"/>
        <v>1</v>
      </c>
      <c r="AJ66" s="54"/>
      <c r="AK66" s="74">
        <f>IFERROR(IF(H66&gt;4,0,AI66*Inputs!$C$55),0)</f>
        <v>2.6</v>
      </c>
      <c r="AL66" s="81">
        <f>IFERROR(Inputs!$C$73,0)</f>
        <v>5</v>
      </c>
      <c r="AM66" s="211">
        <f>IFERROR(Inputs!$C$74,0)</f>
        <v>0.24299999999999999</v>
      </c>
      <c r="AN66" s="446">
        <f>IFERROR(HLOOKUP(HLOOKUP(AN$17,$V$18:$AE66,COUNTA($AK$18:$AK66),FALSE),Inputs!$B$58:$H$59,2,FALSE),0)</f>
        <v>0</v>
      </c>
      <c r="AO66" s="447">
        <f t="shared" si="295"/>
        <v>0</v>
      </c>
      <c r="AP66" s="447">
        <f t="shared" si="296"/>
        <v>0</v>
      </c>
      <c r="AQ66" s="446">
        <f>IFERROR(HLOOKUP(HLOOKUP(AQ$17,$V$18:$AE66,COUNTA($AK$18:$AK66),FALSE),Inputs!$B$58:$H$59,2,FALSE),0)</f>
        <v>0</v>
      </c>
      <c r="AR66" s="447">
        <f t="shared" ref="AR66" si="891">2*$AK66*AQ66*$AL66/100*$AM66</f>
        <v>0</v>
      </c>
      <c r="AS66" s="447">
        <f t="shared" si="298"/>
        <v>0</v>
      </c>
      <c r="AT66" s="446">
        <f>IFERROR(HLOOKUP(HLOOKUP(AT$17,$V$18:$AE66,COUNTA($AK$18:$AK66),FALSE),Inputs!$B$58:$H$59,2,FALSE),0)</f>
        <v>0</v>
      </c>
      <c r="AU66" s="447">
        <f t="shared" ref="AU66" si="892">2*$AK66*AT66*$AL66/100*$AM66</f>
        <v>0</v>
      </c>
      <c r="AV66" s="447">
        <f t="shared" si="300"/>
        <v>0</v>
      </c>
      <c r="AW66" s="446">
        <f>IFERROR(HLOOKUP(HLOOKUP(AW$17,$V$18:$AE66,COUNTA($AK$18:$AK66),FALSE),Inputs!$B$58:$H$59,2,FALSE),0)</f>
        <v>0</v>
      </c>
      <c r="AX66" s="447">
        <f t="shared" ref="AX66" si="893">2*$AK66*AW66*$AL66/100*$AM66</f>
        <v>0</v>
      </c>
      <c r="AY66" s="447">
        <f t="shared" si="302"/>
        <v>0</v>
      </c>
      <c r="AZ66" s="446">
        <f>IFERROR(HLOOKUP(HLOOKUP(AZ$17,$V$18:$AE66,COUNTA($AK$18:$AK66),FALSE),Inputs!$B$58:$H$59,2,FALSE),0)</f>
        <v>0</v>
      </c>
      <c r="BA66" s="447">
        <f t="shared" ref="BA66" si="894">2*$AK66*AZ66*$AL66/100*$AM66</f>
        <v>0</v>
      </c>
      <c r="BB66" s="447">
        <f t="shared" si="304"/>
        <v>0</v>
      </c>
      <c r="BC66" s="446">
        <f>IFERROR(HLOOKUP(HLOOKUP(BC$17,$V$18:$AE66,COUNTA($AK$18:$AK66),FALSE),Inputs!$B$58:$H$59,2,FALSE),0)</f>
        <v>0</v>
      </c>
      <c r="BD66" s="447">
        <f t="shared" ref="BD66" si="895">2*$AK66*BC66*$AL66/100*$AM66</f>
        <v>0</v>
      </c>
      <c r="BE66" s="447">
        <f t="shared" si="306"/>
        <v>0</v>
      </c>
      <c r="BF66" s="446">
        <f>IFERROR(HLOOKUP(HLOOKUP(BF$17,$V$18:$AE66,COUNTA($AK$18:$AK66),FALSE),Inputs!$B$58:$H$59,2,FALSE),0)</f>
        <v>0</v>
      </c>
      <c r="BG66" s="447">
        <f t="shared" ref="BG66" si="896">2*$AK66*BF66*$AL66/100*$AM66</f>
        <v>0</v>
      </c>
      <c r="BH66" s="447">
        <f t="shared" si="308"/>
        <v>0</v>
      </c>
      <c r="BI66" s="446">
        <f>IFERROR(HLOOKUP(HLOOKUP(BI$17,$V$18:$AE66,COUNTA($AK$18:$AK66),FALSE),Inputs!$B$58:$H$59,2,FALSE),0)</f>
        <v>0</v>
      </c>
      <c r="BJ66" s="447">
        <f t="shared" ref="BJ66" si="897">2*$AK66*BI66*$AL66/100*$AM66</f>
        <v>0</v>
      </c>
      <c r="BK66" s="447">
        <f t="shared" si="310"/>
        <v>0</v>
      </c>
      <c r="BL66" s="446">
        <f>IFERROR(HLOOKUP(HLOOKUP(BL$17,$V$18:$AE66,COUNTA($AK$18:$AK66),FALSE),Inputs!$B$58:$H$59,2,FALSE),0)</f>
        <v>0</v>
      </c>
      <c r="BM66" s="447">
        <f t="shared" ref="BM66" si="898">2*$AK66*BL66*$AL66/100*$AM66</f>
        <v>0</v>
      </c>
      <c r="BN66" s="447">
        <f t="shared" si="312"/>
        <v>0</v>
      </c>
      <c r="BO66" s="446">
        <f>IFERROR(HLOOKUP(HLOOKUP(BO$17,$V$18:$AE66,COUNTA($AK$18:$AK66),FALSE),Inputs!$B$58:$H$59,2,FALSE),0)</f>
        <v>0</v>
      </c>
      <c r="BP66" s="447">
        <f t="shared" ref="BP66" si="899">2*$AK66*BO66*$AL66/100*$AM66</f>
        <v>0</v>
      </c>
      <c r="BQ66" s="447">
        <f t="shared" si="314"/>
        <v>0</v>
      </c>
      <c r="BR66" s="54"/>
      <c r="BS66" s="103">
        <f t="shared" ca="1" si="735"/>
        <v>4331.7212431837916</v>
      </c>
      <c r="BT66" s="103">
        <f t="shared" ca="1" si="396"/>
        <v>2960.6782746928779</v>
      </c>
      <c r="BU66" s="103">
        <f t="shared" si="397"/>
        <v>1160.9341895803186</v>
      </c>
      <c r="BV66" s="103">
        <f t="shared" si="398"/>
        <v>0</v>
      </c>
      <c r="BW66" s="152">
        <f t="shared" ca="1" si="399"/>
        <v>8453.3337074569881</v>
      </c>
      <c r="BX66" s="441"/>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188">
        <f t="shared" si="315"/>
        <v>3.6400000000000006</v>
      </c>
      <c r="DE66" s="188">
        <f t="shared" si="316"/>
        <v>1.4400000000000004</v>
      </c>
      <c r="DF66" s="188">
        <f t="shared" si="317"/>
        <v>1.1400000000000006</v>
      </c>
      <c r="DG66" s="188">
        <f t="shared" si="318"/>
        <v>0.84000000000000075</v>
      </c>
      <c r="DH66" s="188">
        <f t="shared" si="319"/>
        <v>0.37000000000000011</v>
      </c>
      <c r="DI66" s="188">
        <f t="shared" si="320"/>
        <v>-9.9999999999999645E-2</v>
      </c>
      <c r="DJ66" s="188">
        <f t="shared" si="321"/>
        <v>-0.3</v>
      </c>
      <c r="DK66" s="188">
        <f t="shared" si="322"/>
        <v>-0.3</v>
      </c>
      <c r="DL66" s="188">
        <f t="shared" si="323"/>
        <v>-0.3</v>
      </c>
      <c r="DM66" s="188">
        <f t="shared" si="324"/>
        <v>-0.3</v>
      </c>
      <c r="DN66" s="189">
        <f t="shared" si="325"/>
        <v>4.4400000000000004</v>
      </c>
      <c r="DO66" s="189">
        <f t="shared" si="326"/>
        <v>2.2400000000000002</v>
      </c>
      <c r="DP66" s="189">
        <f t="shared" si="327"/>
        <v>1.9400000000000004</v>
      </c>
      <c r="DQ66" s="189">
        <f t="shared" si="328"/>
        <v>1.6400000000000006</v>
      </c>
      <c r="DR66" s="189">
        <f t="shared" si="329"/>
        <v>1.17</v>
      </c>
      <c r="DS66" s="189">
        <f t="shared" si="330"/>
        <v>0.70000000000000018</v>
      </c>
      <c r="DT66" s="189">
        <f t="shared" si="331"/>
        <v>0</v>
      </c>
      <c r="DU66" s="189">
        <f t="shared" si="332"/>
        <v>0</v>
      </c>
      <c r="DV66" s="189">
        <f t="shared" si="333"/>
        <v>0</v>
      </c>
      <c r="DW66" s="189">
        <f t="shared" si="334"/>
        <v>0</v>
      </c>
      <c r="DX66" s="54"/>
      <c r="DY66" s="54"/>
      <c r="DZ66" s="199">
        <f t="shared" ca="1" si="736"/>
        <v>209346.9271587072</v>
      </c>
      <c r="EA66" s="200">
        <f t="shared" si="335"/>
        <v>1</v>
      </c>
      <c r="EB66" s="201">
        <f t="shared" ca="1" si="737"/>
        <v>129139.423223123</v>
      </c>
      <c r="EC66" s="200">
        <f t="shared" si="336"/>
        <v>1</v>
      </c>
      <c r="ED66" s="201" cm="1">
        <f t="array" ref="ED66">IF(LEFT($AG66,3)="Res",IF(OR($DN66&gt;External_Threshold,$DD66&gt;0),1*Uplift*AWE*(External),0),0)</f>
        <v>15481.186685962373</v>
      </c>
      <c r="EE66" s="200">
        <f t="shared" si="337"/>
        <v>1</v>
      </c>
      <c r="EF66" s="201">
        <f t="shared" si="738"/>
        <v>0</v>
      </c>
      <c r="EG66" s="203">
        <f t="shared" si="338"/>
        <v>0</v>
      </c>
      <c r="EH66" s="199">
        <f t="shared" ca="1" si="739"/>
        <v>144953.44717800291</v>
      </c>
      <c r="EI66" s="200">
        <f t="shared" si="241"/>
        <v>1</v>
      </c>
      <c r="EJ66" s="201">
        <f t="shared" ca="1" si="740"/>
        <v>119513.25789707383</v>
      </c>
      <c r="EK66" s="200">
        <f t="shared" si="243"/>
        <v>1</v>
      </c>
      <c r="EL66" s="201" cm="1">
        <f t="array" ref="EL66">IF(LEFT($AG66,3)="Res",IF(OR($DO66&gt;External_Threshold,$DE66&gt;0),1*Uplift*AWE*(External),0),0)</f>
        <v>15481.186685962373</v>
      </c>
      <c r="EM66" s="200">
        <f t="shared" si="244"/>
        <v>1</v>
      </c>
      <c r="EN66" s="201">
        <f t="shared" si="741"/>
        <v>0</v>
      </c>
      <c r="EO66" s="203">
        <f t="shared" si="339"/>
        <v>0</v>
      </c>
      <c r="EP66" s="199">
        <f t="shared" ca="1" si="742"/>
        <v>127787.90738060781</v>
      </c>
      <c r="EQ66" s="200">
        <f t="shared" si="247"/>
        <v>1</v>
      </c>
      <c r="ER66" s="201">
        <f t="shared" ca="1" si="743"/>
        <v>114086.24432354364</v>
      </c>
      <c r="ES66" s="200">
        <f t="shared" si="249"/>
        <v>1</v>
      </c>
      <c r="ET66" s="201" cm="1">
        <f t="array" ref="ET66">IF(LEFT($AG66,3)="Res",IF(OR($DP66&gt;External_Threshold,$DF66&gt;0),1*Uplift*AWE*(External),0),0)</f>
        <v>15481.186685962373</v>
      </c>
      <c r="EU66" s="200">
        <f t="shared" si="250"/>
        <v>1</v>
      </c>
      <c r="EV66" s="201">
        <f t="shared" si="744"/>
        <v>0</v>
      </c>
      <c r="EW66" s="203">
        <f t="shared" si="340"/>
        <v>0</v>
      </c>
      <c r="EX66" s="199">
        <f t="shared" ca="1" si="745"/>
        <v>116139.86251808972</v>
      </c>
      <c r="EY66" s="200">
        <f t="shared" si="253"/>
        <v>1</v>
      </c>
      <c r="EZ66" s="201">
        <f t="shared" ca="1" si="746"/>
        <v>99407.217176483216</v>
      </c>
      <c r="FA66" s="200">
        <f t="shared" si="255"/>
        <v>1</v>
      </c>
      <c r="FB66" s="201" cm="1">
        <f t="array" ref="FB66">IF(LEFT($AG66,3)="Res",IF(OR($DQ66&gt;External_Threshold,$DG66&gt;0),1*Uplift*AWE*(External),0),0)</f>
        <v>15481.186685962373</v>
      </c>
      <c r="FC66" s="200">
        <f t="shared" si="256"/>
        <v>1</v>
      </c>
      <c r="FD66" s="201">
        <f t="shared" si="257"/>
        <v>0</v>
      </c>
      <c r="FE66" s="203">
        <f t="shared" si="341"/>
        <v>0</v>
      </c>
      <c r="FF66" s="199">
        <f t="shared" ca="1" si="747"/>
        <v>108987.5542691751</v>
      </c>
      <c r="FG66" s="200">
        <f t="shared" si="259"/>
        <v>1</v>
      </c>
      <c r="FH66" s="201">
        <f t="shared" ca="1" si="748"/>
        <v>66604.993200743629</v>
      </c>
      <c r="FI66" s="200">
        <f t="shared" si="261"/>
        <v>1</v>
      </c>
      <c r="FJ66" s="201" cm="1">
        <f t="array" ref="FJ66">IF(LEFT($AG66,3)="Res",IF(OR($DR66&gt;External_Threshold,$DH66&gt;0),1*Uplift*AWE*(External),0),0)</f>
        <v>15481.186685962373</v>
      </c>
      <c r="FK66" s="200">
        <f t="shared" si="262"/>
        <v>1</v>
      </c>
      <c r="FL66" s="201">
        <f t="shared" si="749"/>
        <v>0</v>
      </c>
      <c r="FM66" s="203">
        <f t="shared" si="342"/>
        <v>0</v>
      </c>
      <c r="FN66" s="199">
        <f t="shared" ca="1" si="750"/>
        <v>4995.2629040038591</v>
      </c>
      <c r="FO66" s="200">
        <f t="shared" si="265"/>
        <v>0</v>
      </c>
      <c r="FP66" s="201">
        <f t="shared" ca="1" si="751"/>
        <v>0</v>
      </c>
      <c r="FQ66" s="200">
        <f t="shared" si="267"/>
        <v>0</v>
      </c>
      <c r="FR66" s="201" cm="1">
        <f t="array" ref="FR66">IF(LEFT($AG66,3)="Res",IF(OR($DS66&gt;External_Threshold,$DI66&gt;0),1*Uplift*AWE*(External),0),0)</f>
        <v>15481.186685962373</v>
      </c>
      <c r="FS66" s="200">
        <f t="shared" si="268"/>
        <v>1</v>
      </c>
      <c r="FT66" s="201">
        <f t="shared" si="752"/>
        <v>0</v>
      </c>
      <c r="FU66" s="203">
        <f t="shared" si="343"/>
        <v>0</v>
      </c>
      <c r="FV66" s="199">
        <f t="shared" ca="1" si="753"/>
        <v>0</v>
      </c>
      <c r="FW66" s="200">
        <f t="shared" si="271"/>
        <v>0</v>
      </c>
      <c r="FX66" s="201">
        <f t="shared" ca="1" si="754"/>
        <v>0</v>
      </c>
      <c r="FY66" s="200">
        <f t="shared" si="273"/>
        <v>0</v>
      </c>
      <c r="FZ66" s="201" cm="1">
        <f t="array" ref="FZ66">IF(LEFT($AG66,3)="Res",IF(OR($DT66&gt;External_Threshold,$DJ66&gt;0),1*Uplift*AWE*(External),0),0)</f>
        <v>0</v>
      </c>
      <c r="GA66" s="200">
        <f t="shared" si="274"/>
        <v>0</v>
      </c>
      <c r="GB66" s="201">
        <f t="shared" si="755"/>
        <v>0</v>
      </c>
      <c r="GC66" s="203">
        <f t="shared" si="344"/>
        <v>0</v>
      </c>
      <c r="GD66" s="199">
        <f t="shared" ca="1" si="756"/>
        <v>0</v>
      </c>
      <c r="GE66" s="200">
        <f t="shared" si="277"/>
        <v>0</v>
      </c>
      <c r="GF66" s="201">
        <f t="shared" ca="1" si="757"/>
        <v>0</v>
      </c>
      <c r="GG66" s="200">
        <f t="shared" si="279"/>
        <v>0</v>
      </c>
      <c r="GH66" s="201" cm="1">
        <f t="array" ref="GH66">IF(LEFT($AG66,3)="Res",IF(OR($DU66&gt;External_Threshold,$DK66&gt;0),1*Uplift*AWE*(External),0),0)</f>
        <v>0</v>
      </c>
      <c r="GI66" s="200">
        <f t="shared" si="280"/>
        <v>0</v>
      </c>
      <c r="GJ66" s="201">
        <f t="shared" si="758"/>
        <v>0</v>
      </c>
      <c r="GK66" s="203">
        <f t="shared" si="345"/>
        <v>0</v>
      </c>
      <c r="GL66" s="199">
        <f t="shared" ca="1" si="759"/>
        <v>0</v>
      </c>
      <c r="GM66" s="200">
        <f t="shared" si="283"/>
        <v>0</v>
      </c>
      <c r="GN66" s="201">
        <f t="shared" ca="1" si="760"/>
        <v>0</v>
      </c>
      <c r="GO66" s="200">
        <f t="shared" si="285"/>
        <v>0</v>
      </c>
      <c r="GP66" s="201" cm="1">
        <f t="array" ref="GP66">IF(LEFT($AG66,3)="Res",IF(OR($DV66&gt;External_Threshold,$DL66&gt;0),1*Uplift*AWE*(External),0),0)</f>
        <v>0</v>
      </c>
      <c r="GQ66" s="200">
        <f t="shared" si="286"/>
        <v>0</v>
      </c>
      <c r="GR66" s="201">
        <f t="shared" si="761"/>
        <v>0</v>
      </c>
      <c r="GS66" s="203">
        <f t="shared" si="346"/>
        <v>0</v>
      </c>
      <c r="GT66" s="199">
        <f t="shared" ca="1" si="762"/>
        <v>0</v>
      </c>
      <c r="GU66" s="200">
        <f t="shared" si="289"/>
        <v>0</v>
      </c>
      <c r="GV66" s="201">
        <f t="shared" ca="1" si="763"/>
        <v>0</v>
      </c>
      <c r="GW66" s="200">
        <f t="shared" si="291"/>
        <v>0</v>
      </c>
      <c r="GX66" s="201" cm="1">
        <f t="array" ref="GX66">IF(LEFT($AG66,3)="Res",IF(OR($DW66&gt;External_Threshold,$DM66&gt;0),1*Uplift*AWE*(External),0),0)</f>
        <v>0</v>
      </c>
      <c r="GY66" s="200">
        <f t="shared" si="292"/>
        <v>0</v>
      </c>
      <c r="GZ66" s="201">
        <f t="shared" si="764"/>
        <v>0</v>
      </c>
      <c r="HA66" s="203">
        <f t="shared" si="347"/>
        <v>0</v>
      </c>
      <c r="HB66" s="54"/>
      <c r="HC66" s="54"/>
      <c r="HD66" s="54"/>
      <c r="HE66" s="54"/>
      <c r="HF66" s="54"/>
      <c r="HG66" s="201">
        <f t="shared" ca="1" si="348"/>
        <v>353967.53706779255</v>
      </c>
      <c r="HH66" s="201">
        <f t="shared" ca="1" si="349"/>
        <v>279947.89176103909</v>
      </c>
      <c r="HI66" s="201">
        <f t="shared" ca="1" si="350"/>
        <v>257355.33839011381</v>
      </c>
      <c r="HJ66" s="201">
        <f t="shared" ca="1" si="351"/>
        <v>231028.26638053532</v>
      </c>
      <c r="HK66" s="201">
        <f t="shared" ca="1" si="352"/>
        <v>191073.7341558811</v>
      </c>
      <c r="HL66" s="201">
        <f t="shared" ca="1" si="353"/>
        <v>20476.449589966232</v>
      </c>
      <c r="HM66" s="201">
        <f t="shared" ca="1" si="354"/>
        <v>0</v>
      </c>
      <c r="HN66" s="201">
        <f t="shared" ca="1" si="355"/>
        <v>0</v>
      </c>
      <c r="HO66" s="201">
        <f t="shared" ca="1" si="356"/>
        <v>0</v>
      </c>
      <c r="HP66" s="201">
        <f t="shared" ca="1" si="357"/>
        <v>0</v>
      </c>
      <c r="HQ66" s="54"/>
    </row>
    <row r="67" spans="1:225" x14ac:dyDescent="0.3">
      <c r="A67" s="513">
        <v>49</v>
      </c>
      <c r="B67" s="514" t="s">
        <v>472</v>
      </c>
      <c r="C67" s="514" t="s">
        <v>390</v>
      </c>
      <c r="D67" s="514" t="s">
        <v>390</v>
      </c>
      <c r="E67" s="513">
        <v>1</v>
      </c>
      <c r="F67" s="515">
        <v>5.78</v>
      </c>
      <c r="G67" s="515">
        <v>5.12</v>
      </c>
      <c r="H67" s="513">
        <v>1</v>
      </c>
      <c r="I67" s="517">
        <v>1</v>
      </c>
      <c r="J67" s="518" t="s">
        <v>137</v>
      </c>
      <c r="K67" s="513">
        <f t="shared" si="724"/>
        <v>160</v>
      </c>
      <c r="L67" s="519">
        <v>8.74</v>
      </c>
      <c r="M67" s="519">
        <v>6.54</v>
      </c>
      <c r="N67" s="519">
        <v>6.24</v>
      </c>
      <c r="O67" s="519">
        <v>5.94</v>
      </c>
      <c r="P67" s="519">
        <v>5.47</v>
      </c>
      <c r="Q67" s="519">
        <v>5</v>
      </c>
      <c r="R67" s="519">
        <v>4.2</v>
      </c>
      <c r="S67" s="519">
        <v>0</v>
      </c>
      <c r="T67" s="519">
        <v>0</v>
      </c>
      <c r="U67" s="519">
        <v>0</v>
      </c>
      <c r="V67" s="536"/>
      <c r="W67" s="536"/>
      <c r="X67" s="536"/>
      <c r="Y67" s="536"/>
      <c r="Z67" s="536"/>
      <c r="AA67" s="536"/>
      <c r="AB67" s="536"/>
      <c r="AC67" s="536"/>
      <c r="AD67" s="536"/>
      <c r="AE67" s="536"/>
      <c r="AF67" s="54"/>
      <c r="AG67" s="204" t="str">
        <f t="shared" si="465"/>
        <v>Res1</v>
      </c>
      <c r="AH67" s="204">
        <f t="shared" si="294"/>
        <v>7</v>
      </c>
      <c r="AI67" s="204">
        <f t="shared" si="725"/>
        <v>1</v>
      </c>
      <c r="AJ67" s="54"/>
      <c r="AK67" s="74">
        <f>IFERROR(IF(H67&gt;4,0,AI67*Inputs!$C$55),0)</f>
        <v>2.6</v>
      </c>
      <c r="AL67" s="81">
        <f>IFERROR(Inputs!$C$73,0)</f>
        <v>5</v>
      </c>
      <c r="AM67" s="211">
        <f>IFERROR(Inputs!$C$74,0)</f>
        <v>0.24299999999999999</v>
      </c>
      <c r="AN67" s="446">
        <f>IFERROR(HLOOKUP(HLOOKUP(AN$17,$V$18:$AE67,COUNTA($AK$18:$AK67),FALSE),Inputs!$B$58:$H$59,2,FALSE),0)</f>
        <v>0</v>
      </c>
      <c r="AO67" s="447">
        <f t="shared" si="295"/>
        <v>0</v>
      </c>
      <c r="AP67" s="447">
        <f t="shared" si="296"/>
        <v>0</v>
      </c>
      <c r="AQ67" s="446">
        <f>IFERROR(HLOOKUP(HLOOKUP(AQ$17,$V$18:$AE67,COUNTA($AK$18:$AK67),FALSE),Inputs!$B$58:$H$59,2,FALSE),0)</f>
        <v>0</v>
      </c>
      <c r="AR67" s="447">
        <f t="shared" ref="AR67" si="900">2*$AK67*AQ67*$AL67/100*$AM67</f>
        <v>0</v>
      </c>
      <c r="AS67" s="447">
        <f t="shared" si="298"/>
        <v>0</v>
      </c>
      <c r="AT67" s="446">
        <f>IFERROR(HLOOKUP(HLOOKUP(AT$17,$V$18:$AE67,COUNTA($AK$18:$AK67),FALSE),Inputs!$B$58:$H$59,2,FALSE),0)</f>
        <v>0</v>
      </c>
      <c r="AU67" s="447">
        <f t="shared" ref="AU67" si="901">2*$AK67*AT67*$AL67/100*$AM67</f>
        <v>0</v>
      </c>
      <c r="AV67" s="447">
        <f t="shared" si="300"/>
        <v>0</v>
      </c>
      <c r="AW67" s="446">
        <f>IFERROR(HLOOKUP(HLOOKUP(AW$17,$V$18:$AE67,COUNTA($AK$18:$AK67),FALSE),Inputs!$B$58:$H$59,2,FALSE),0)</f>
        <v>0</v>
      </c>
      <c r="AX67" s="447">
        <f t="shared" ref="AX67" si="902">2*$AK67*AW67*$AL67/100*$AM67</f>
        <v>0</v>
      </c>
      <c r="AY67" s="447">
        <f t="shared" si="302"/>
        <v>0</v>
      </c>
      <c r="AZ67" s="446">
        <f>IFERROR(HLOOKUP(HLOOKUP(AZ$17,$V$18:$AE67,COUNTA($AK$18:$AK67),FALSE),Inputs!$B$58:$H$59,2,FALSE),0)</f>
        <v>0</v>
      </c>
      <c r="BA67" s="447">
        <f t="shared" ref="BA67" si="903">2*$AK67*AZ67*$AL67/100*$AM67</f>
        <v>0</v>
      </c>
      <c r="BB67" s="447">
        <f t="shared" si="304"/>
        <v>0</v>
      </c>
      <c r="BC67" s="446">
        <f>IFERROR(HLOOKUP(HLOOKUP(BC$17,$V$18:$AE67,COUNTA($AK$18:$AK67),FALSE),Inputs!$B$58:$H$59,2,FALSE),0)</f>
        <v>0</v>
      </c>
      <c r="BD67" s="447">
        <f t="shared" ref="BD67" si="904">2*$AK67*BC67*$AL67/100*$AM67</f>
        <v>0</v>
      </c>
      <c r="BE67" s="447">
        <f t="shared" si="306"/>
        <v>0</v>
      </c>
      <c r="BF67" s="446">
        <f>IFERROR(HLOOKUP(HLOOKUP(BF$17,$V$18:$AE67,COUNTA($AK$18:$AK67),FALSE),Inputs!$B$58:$H$59,2,FALSE),0)</f>
        <v>0</v>
      </c>
      <c r="BG67" s="447">
        <f t="shared" ref="BG67" si="905">2*$AK67*BF67*$AL67/100*$AM67</f>
        <v>0</v>
      </c>
      <c r="BH67" s="447">
        <f t="shared" si="308"/>
        <v>0</v>
      </c>
      <c r="BI67" s="446">
        <f>IFERROR(HLOOKUP(HLOOKUP(BI$17,$V$18:$AE67,COUNTA($AK$18:$AK67),FALSE),Inputs!$B$58:$H$59,2,FALSE),0)</f>
        <v>0</v>
      </c>
      <c r="BJ67" s="447">
        <f t="shared" ref="BJ67" si="906">2*$AK67*BI67*$AL67/100*$AM67</f>
        <v>0</v>
      </c>
      <c r="BK67" s="447">
        <f t="shared" si="310"/>
        <v>0</v>
      </c>
      <c r="BL67" s="446">
        <f>IFERROR(HLOOKUP(HLOOKUP(BL$17,$V$18:$AE67,COUNTA($AK$18:$AK67),FALSE),Inputs!$B$58:$H$59,2,FALSE),0)</f>
        <v>0</v>
      </c>
      <c r="BM67" s="447">
        <f t="shared" ref="BM67" si="907">2*$AK67*BL67*$AL67/100*$AM67</f>
        <v>0</v>
      </c>
      <c r="BN67" s="447">
        <f t="shared" si="312"/>
        <v>0</v>
      </c>
      <c r="BO67" s="446">
        <f>IFERROR(HLOOKUP(HLOOKUP(BO$17,$V$18:$AE67,COUNTA($AK$18:$AK67),FALSE),Inputs!$B$58:$H$59,2,FALSE),0)</f>
        <v>0</v>
      </c>
      <c r="BP67" s="447">
        <f t="shared" ref="BP67" si="908">2*$AK67*BO67*$AL67/100*$AM67</f>
        <v>0</v>
      </c>
      <c r="BQ67" s="447">
        <f t="shared" si="314"/>
        <v>0</v>
      </c>
      <c r="BR67" s="54"/>
      <c r="BS67" s="103">
        <f t="shared" ca="1" si="735"/>
        <v>1548.4484539954174</v>
      </c>
      <c r="BT67" s="103">
        <f t="shared" ca="1" si="396"/>
        <v>878.1846026303856</v>
      </c>
      <c r="BU67" s="103">
        <f t="shared" si="397"/>
        <v>541.68672214182345</v>
      </c>
      <c r="BV67" s="103">
        <f t="shared" si="398"/>
        <v>0</v>
      </c>
      <c r="BW67" s="152">
        <f t="shared" ca="1" si="399"/>
        <v>2968.3197787676263</v>
      </c>
      <c r="BX67" s="441"/>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188">
        <f t="shared" si="315"/>
        <v>2.96</v>
      </c>
      <c r="DE67" s="188">
        <f t="shared" si="316"/>
        <v>0.75999999999999979</v>
      </c>
      <c r="DF67" s="188">
        <f t="shared" si="317"/>
        <v>0.45999999999999996</v>
      </c>
      <c r="DG67" s="188">
        <f t="shared" si="318"/>
        <v>0.16000000000000014</v>
      </c>
      <c r="DH67" s="188">
        <f t="shared" si="319"/>
        <v>-0.3</v>
      </c>
      <c r="DI67" s="188">
        <f t="shared" si="320"/>
        <v>-0.3</v>
      </c>
      <c r="DJ67" s="188">
        <f t="shared" si="321"/>
        <v>-0.3</v>
      </c>
      <c r="DK67" s="188">
        <f t="shared" si="322"/>
        <v>-0.3</v>
      </c>
      <c r="DL67" s="188">
        <f t="shared" si="323"/>
        <v>-0.3</v>
      </c>
      <c r="DM67" s="188">
        <f t="shared" si="324"/>
        <v>-0.3</v>
      </c>
      <c r="DN67" s="189">
        <f t="shared" si="325"/>
        <v>3.62</v>
      </c>
      <c r="DO67" s="189">
        <f t="shared" si="326"/>
        <v>1.42</v>
      </c>
      <c r="DP67" s="189">
        <f t="shared" si="327"/>
        <v>1.1200000000000001</v>
      </c>
      <c r="DQ67" s="189">
        <f t="shared" si="328"/>
        <v>0.82000000000000028</v>
      </c>
      <c r="DR67" s="189">
        <f t="shared" si="329"/>
        <v>0.34999999999999964</v>
      </c>
      <c r="DS67" s="189">
        <f t="shared" si="330"/>
        <v>0</v>
      </c>
      <c r="DT67" s="189">
        <f t="shared" si="331"/>
        <v>0</v>
      </c>
      <c r="DU67" s="189">
        <f t="shared" si="332"/>
        <v>0</v>
      </c>
      <c r="DV67" s="189">
        <f t="shared" si="333"/>
        <v>0</v>
      </c>
      <c r="DW67" s="189">
        <f t="shared" si="334"/>
        <v>0</v>
      </c>
      <c r="DX67" s="54"/>
      <c r="DY67" s="54"/>
      <c r="DZ67" s="199">
        <f t="shared" ca="1" si="736"/>
        <v>189882.43113844673</v>
      </c>
      <c r="EA67" s="200">
        <f t="shared" si="335"/>
        <v>1</v>
      </c>
      <c r="EB67" s="201">
        <f t="shared" ca="1" si="737"/>
        <v>119744.47128786275</v>
      </c>
      <c r="EC67" s="200">
        <f t="shared" si="336"/>
        <v>1</v>
      </c>
      <c r="ED67" s="201" cm="1">
        <f t="array" ref="ED67">IF(LEFT($AG67,3)="Res",IF(OR($DN67&gt;External_Threshold,$DD67&gt;0),1*Uplift*AWE*(External),0),0)</f>
        <v>15481.186685962373</v>
      </c>
      <c r="EE67" s="200">
        <f t="shared" si="337"/>
        <v>1</v>
      </c>
      <c r="EF67" s="201">
        <f t="shared" si="738"/>
        <v>0</v>
      </c>
      <c r="EG67" s="203">
        <f t="shared" si="338"/>
        <v>0</v>
      </c>
      <c r="EH67" s="199">
        <f t="shared" ca="1" si="739"/>
        <v>104588.31705258081</v>
      </c>
      <c r="EI67" s="200">
        <f t="shared" si="241"/>
        <v>1</v>
      </c>
      <c r="EJ67" s="201">
        <f t="shared" ca="1" si="740"/>
        <v>85735.722350325959</v>
      </c>
      <c r="EK67" s="200">
        <f t="shared" si="243"/>
        <v>1</v>
      </c>
      <c r="EL67" s="201" cm="1">
        <f t="array" ref="EL67">IF(LEFT($AG67,3)="Res",IF(OR($DO67&gt;External_Threshold,$DE67&gt;0),1*Uplift*AWE*(External),0),0)</f>
        <v>15481.186685962373</v>
      </c>
      <c r="EM67" s="200">
        <f t="shared" si="244"/>
        <v>1</v>
      </c>
      <c r="EN67" s="201">
        <f t="shared" si="741"/>
        <v>0</v>
      </c>
      <c r="EO67" s="203">
        <f t="shared" si="339"/>
        <v>0</v>
      </c>
      <c r="EP67" s="199">
        <f t="shared" ca="1" si="742"/>
        <v>99905.258080077183</v>
      </c>
      <c r="EQ67" s="200">
        <f t="shared" si="247"/>
        <v>1</v>
      </c>
      <c r="ER67" s="201">
        <f t="shared" ca="1" si="743"/>
        <v>68950.934942471809</v>
      </c>
      <c r="ES67" s="200">
        <f t="shared" si="249"/>
        <v>1</v>
      </c>
      <c r="ET67" s="201" cm="1">
        <f t="array" ref="ET67">IF(LEFT($AG67,3)="Res",IF(OR($DP67&gt;External_Threshold,$DF67&gt;0),1*Uplift*AWE*(External),0),0)</f>
        <v>15481.186685962373</v>
      </c>
      <c r="EU67" s="200">
        <f t="shared" si="250"/>
        <v>1</v>
      </c>
      <c r="EV67" s="201">
        <f t="shared" si="744"/>
        <v>0</v>
      </c>
      <c r="EW67" s="203">
        <f t="shared" si="340"/>
        <v>0</v>
      </c>
      <c r="EX67" s="199">
        <f t="shared" ca="1" si="745"/>
        <v>93192.873552822013</v>
      </c>
      <c r="EY67" s="200">
        <f t="shared" si="253"/>
        <v>1</v>
      </c>
      <c r="EZ67" s="201">
        <f t="shared" ca="1" si="746"/>
        <v>35909.931555334886</v>
      </c>
      <c r="FA67" s="200">
        <f t="shared" si="255"/>
        <v>1</v>
      </c>
      <c r="FB67" s="201" cm="1">
        <f t="array" ref="FB67">IF(LEFT($AG67,3)="Res",IF(OR($DQ67&gt;External_Threshold,$DG67&gt;0),1*Uplift*AWE*(External),0),0)</f>
        <v>15481.186685962373</v>
      </c>
      <c r="FC67" s="200">
        <f t="shared" si="256"/>
        <v>1</v>
      </c>
      <c r="FD67" s="201">
        <f t="shared" si="257"/>
        <v>0</v>
      </c>
      <c r="FE67" s="203">
        <f t="shared" si="341"/>
        <v>0</v>
      </c>
      <c r="FF67" s="199">
        <f t="shared" ca="1" si="747"/>
        <v>0</v>
      </c>
      <c r="FG67" s="200">
        <f t="shared" si="259"/>
        <v>0</v>
      </c>
      <c r="FH67" s="201">
        <f t="shared" ca="1" si="748"/>
        <v>0</v>
      </c>
      <c r="FI67" s="200">
        <f t="shared" si="261"/>
        <v>0</v>
      </c>
      <c r="FJ67" s="201" cm="1">
        <f t="array" ref="FJ67">IF(LEFT($AG67,3)="Res",IF(OR($DR67&gt;External_Threshold,$DH67&gt;0),1*Uplift*AWE*(External),0),0)</f>
        <v>15481.186685962373</v>
      </c>
      <c r="FK67" s="200">
        <f t="shared" si="262"/>
        <v>1</v>
      </c>
      <c r="FL67" s="201">
        <f t="shared" si="749"/>
        <v>0</v>
      </c>
      <c r="FM67" s="203">
        <f t="shared" si="342"/>
        <v>0</v>
      </c>
      <c r="FN67" s="199">
        <f t="shared" ca="1" si="750"/>
        <v>0</v>
      </c>
      <c r="FO67" s="200">
        <f t="shared" si="265"/>
        <v>0</v>
      </c>
      <c r="FP67" s="201">
        <f t="shared" ca="1" si="751"/>
        <v>0</v>
      </c>
      <c r="FQ67" s="200">
        <f t="shared" si="267"/>
        <v>0</v>
      </c>
      <c r="FR67" s="201" cm="1">
        <f t="array" ref="FR67">IF(LEFT($AG67,3)="Res",IF(OR($DS67&gt;External_Threshold,$DI67&gt;0),1*Uplift*AWE*(External),0),0)</f>
        <v>0</v>
      </c>
      <c r="FS67" s="200">
        <f t="shared" si="268"/>
        <v>0</v>
      </c>
      <c r="FT67" s="201">
        <f t="shared" si="752"/>
        <v>0</v>
      </c>
      <c r="FU67" s="203">
        <f t="shared" si="343"/>
        <v>0</v>
      </c>
      <c r="FV67" s="199">
        <f t="shared" ca="1" si="753"/>
        <v>0</v>
      </c>
      <c r="FW67" s="200">
        <f t="shared" si="271"/>
        <v>0</v>
      </c>
      <c r="FX67" s="201">
        <f t="shared" ca="1" si="754"/>
        <v>0</v>
      </c>
      <c r="FY67" s="200">
        <f t="shared" si="273"/>
        <v>0</v>
      </c>
      <c r="FZ67" s="201" cm="1">
        <f t="array" ref="FZ67">IF(LEFT($AG67,3)="Res",IF(OR($DT67&gt;External_Threshold,$DJ67&gt;0),1*Uplift*AWE*(External),0),0)</f>
        <v>0</v>
      </c>
      <c r="GA67" s="200">
        <f t="shared" si="274"/>
        <v>0</v>
      </c>
      <c r="GB67" s="201">
        <f t="shared" si="755"/>
        <v>0</v>
      </c>
      <c r="GC67" s="203">
        <f t="shared" si="344"/>
        <v>0</v>
      </c>
      <c r="GD67" s="199">
        <f t="shared" ca="1" si="756"/>
        <v>0</v>
      </c>
      <c r="GE67" s="200">
        <f t="shared" si="277"/>
        <v>0</v>
      </c>
      <c r="GF67" s="201">
        <f t="shared" ca="1" si="757"/>
        <v>0</v>
      </c>
      <c r="GG67" s="200">
        <f t="shared" si="279"/>
        <v>0</v>
      </c>
      <c r="GH67" s="201" cm="1">
        <f t="array" ref="GH67">IF(LEFT($AG67,3)="Res",IF(OR($DU67&gt;External_Threshold,$DK67&gt;0),1*Uplift*AWE*(External),0),0)</f>
        <v>0</v>
      </c>
      <c r="GI67" s="200">
        <f t="shared" si="280"/>
        <v>0</v>
      </c>
      <c r="GJ67" s="201">
        <f t="shared" si="758"/>
        <v>0</v>
      </c>
      <c r="GK67" s="203">
        <f t="shared" si="345"/>
        <v>0</v>
      </c>
      <c r="GL67" s="199">
        <f t="shared" ca="1" si="759"/>
        <v>0</v>
      </c>
      <c r="GM67" s="200">
        <f t="shared" si="283"/>
        <v>0</v>
      </c>
      <c r="GN67" s="201">
        <f t="shared" ca="1" si="760"/>
        <v>0</v>
      </c>
      <c r="GO67" s="200">
        <f t="shared" si="285"/>
        <v>0</v>
      </c>
      <c r="GP67" s="201" cm="1">
        <f t="array" ref="GP67">IF(LEFT($AG67,3)="Res",IF(OR($DV67&gt;External_Threshold,$DL67&gt;0),1*Uplift*AWE*(External),0),0)</f>
        <v>0</v>
      </c>
      <c r="GQ67" s="200">
        <f t="shared" si="286"/>
        <v>0</v>
      </c>
      <c r="GR67" s="201">
        <f t="shared" si="761"/>
        <v>0</v>
      </c>
      <c r="GS67" s="203">
        <f t="shared" si="346"/>
        <v>0</v>
      </c>
      <c r="GT67" s="199">
        <f t="shared" ca="1" si="762"/>
        <v>0</v>
      </c>
      <c r="GU67" s="200">
        <f t="shared" si="289"/>
        <v>0</v>
      </c>
      <c r="GV67" s="201">
        <f t="shared" ca="1" si="763"/>
        <v>0</v>
      </c>
      <c r="GW67" s="200">
        <f t="shared" si="291"/>
        <v>0</v>
      </c>
      <c r="GX67" s="201" cm="1">
        <f t="array" ref="GX67">IF(LEFT($AG67,3)="Res",IF(OR($DW67&gt;External_Threshold,$DM67&gt;0),1*Uplift*AWE*(External),0),0)</f>
        <v>0</v>
      </c>
      <c r="GY67" s="200">
        <f t="shared" si="292"/>
        <v>0</v>
      </c>
      <c r="GZ67" s="201">
        <f t="shared" si="764"/>
        <v>0</v>
      </c>
      <c r="HA67" s="203">
        <f t="shared" si="347"/>
        <v>0</v>
      </c>
      <c r="HB67" s="54"/>
      <c r="HC67" s="54"/>
      <c r="HD67" s="54"/>
      <c r="HE67" s="54"/>
      <c r="HF67" s="54"/>
      <c r="HG67" s="201">
        <f t="shared" ca="1" si="348"/>
        <v>325108.08911227185</v>
      </c>
      <c r="HH67" s="201">
        <f t="shared" ca="1" si="349"/>
        <v>205805.22608886915</v>
      </c>
      <c r="HI67" s="201">
        <f t="shared" ca="1" si="350"/>
        <v>184337.37970851135</v>
      </c>
      <c r="HJ67" s="201">
        <f t="shared" ca="1" si="351"/>
        <v>144583.99179411927</v>
      </c>
      <c r="HK67" s="201">
        <f t="shared" ca="1" si="352"/>
        <v>15481.186685962373</v>
      </c>
      <c r="HL67" s="201">
        <f t="shared" ca="1" si="353"/>
        <v>0</v>
      </c>
      <c r="HM67" s="201">
        <f t="shared" ca="1" si="354"/>
        <v>0</v>
      </c>
      <c r="HN67" s="201">
        <f t="shared" ca="1" si="355"/>
        <v>0</v>
      </c>
      <c r="HO67" s="201">
        <f t="shared" ca="1" si="356"/>
        <v>0</v>
      </c>
      <c r="HP67" s="201">
        <f t="shared" ca="1" si="357"/>
        <v>0</v>
      </c>
      <c r="HQ67" s="54"/>
    </row>
    <row r="68" spans="1:225" x14ac:dyDescent="0.3">
      <c r="A68" s="513">
        <v>50</v>
      </c>
      <c r="B68" s="514" t="s">
        <v>473</v>
      </c>
      <c r="C68" s="514" t="s">
        <v>390</v>
      </c>
      <c r="D68" s="514" t="s">
        <v>390</v>
      </c>
      <c r="E68" s="513">
        <v>1</v>
      </c>
      <c r="F68" s="515">
        <v>5.76</v>
      </c>
      <c r="G68" s="515">
        <v>5.0599999999999996</v>
      </c>
      <c r="H68" s="513">
        <v>1</v>
      </c>
      <c r="I68" s="517">
        <v>1</v>
      </c>
      <c r="J68" s="518" t="s">
        <v>42</v>
      </c>
      <c r="K68" s="513">
        <f t="shared" si="724"/>
        <v>90</v>
      </c>
      <c r="L68" s="519">
        <v>8.7199999999999989</v>
      </c>
      <c r="M68" s="519">
        <v>6.5299999999999994</v>
      </c>
      <c r="N68" s="519">
        <v>6.2299999999999995</v>
      </c>
      <c r="O68" s="519">
        <v>5.93</v>
      </c>
      <c r="P68" s="519">
        <v>5.47</v>
      </c>
      <c r="Q68" s="519">
        <v>5</v>
      </c>
      <c r="R68" s="519">
        <v>4.2</v>
      </c>
      <c r="S68" s="519">
        <v>0</v>
      </c>
      <c r="T68" s="519">
        <v>0</v>
      </c>
      <c r="U68" s="519">
        <v>0</v>
      </c>
      <c r="V68" s="536"/>
      <c r="W68" s="536"/>
      <c r="X68" s="536"/>
      <c r="Y68" s="536"/>
      <c r="Z68" s="536"/>
      <c r="AA68" s="536"/>
      <c r="AB68" s="536"/>
      <c r="AC68" s="536"/>
      <c r="AD68" s="536"/>
      <c r="AE68" s="536"/>
      <c r="AF68" s="54"/>
      <c r="AG68" s="204" t="str">
        <f t="shared" si="465"/>
        <v>Res1</v>
      </c>
      <c r="AH68" s="204">
        <f t="shared" si="294"/>
        <v>4</v>
      </c>
      <c r="AI68" s="204">
        <f t="shared" si="725"/>
        <v>1</v>
      </c>
      <c r="AJ68" s="54"/>
      <c r="AK68" s="74">
        <f>IFERROR(IF(H68&gt;4,0,AI68*Inputs!$C$55),0)</f>
        <v>2.6</v>
      </c>
      <c r="AL68" s="81">
        <f>IFERROR(Inputs!$C$73,0)</f>
        <v>5</v>
      </c>
      <c r="AM68" s="211">
        <f>IFERROR(Inputs!$C$74,0)</f>
        <v>0.24299999999999999</v>
      </c>
      <c r="AN68" s="446">
        <f>IFERROR(HLOOKUP(HLOOKUP(AN$17,$V$18:$AE68,COUNTA($AK$18:$AK68),FALSE),Inputs!$B$58:$H$59,2,FALSE),0)</f>
        <v>0</v>
      </c>
      <c r="AO68" s="447">
        <f t="shared" si="295"/>
        <v>0</v>
      </c>
      <c r="AP68" s="447">
        <f t="shared" si="296"/>
        <v>0</v>
      </c>
      <c r="AQ68" s="446">
        <f>IFERROR(HLOOKUP(HLOOKUP(AQ$17,$V$18:$AE68,COUNTA($AK$18:$AK68),FALSE),Inputs!$B$58:$H$59,2,FALSE),0)</f>
        <v>0</v>
      </c>
      <c r="AR68" s="447">
        <f t="shared" ref="AR68" si="909">2*$AK68*AQ68*$AL68/100*$AM68</f>
        <v>0</v>
      </c>
      <c r="AS68" s="447">
        <f t="shared" si="298"/>
        <v>0</v>
      </c>
      <c r="AT68" s="446">
        <f>IFERROR(HLOOKUP(HLOOKUP(AT$17,$V$18:$AE68,COUNTA($AK$18:$AK68),FALSE),Inputs!$B$58:$H$59,2,FALSE),0)</f>
        <v>0</v>
      </c>
      <c r="AU68" s="447">
        <f t="shared" ref="AU68" si="910">2*$AK68*AT68*$AL68/100*$AM68</f>
        <v>0</v>
      </c>
      <c r="AV68" s="447">
        <f t="shared" si="300"/>
        <v>0</v>
      </c>
      <c r="AW68" s="446">
        <f>IFERROR(HLOOKUP(HLOOKUP(AW$17,$V$18:$AE68,COUNTA($AK$18:$AK68),FALSE),Inputs!$B$58:$H$59,2,FALSE),0)</f>
        <v>0</v>
      </c>
      <c r="AX68" s="447">
        <f t="shared" ref="AX68" si="911">2*$AK68*AW68*$AL68/100*$AM68</f>
        <v>0</v>
      </c>
      <c r="AY68" s="447">
        <f t="shared" si="302"/>
        <v>0</v>
      </c>
      <c r="AZ68" s="446">
        <f>IFERROR(HLOOKUP(HLOOKUP(AZ$17,$V$18:$AE68,COUNTA($AK$18:$AK68),FALSE),Inputs!$B$58:$H$59,2,FALSE),0)</f>
        <v>0</v>
      </c>
      <c r="BA68" s="447">
        <f t="shared" ref="BA68" si="912">2*$AK68*AZ68*$AL68/100*$AM68</f>
        <v>0</v>
      </c>
      <c r="BB68" s="447">
        <f t="shared" si="304"/>
        <v>0</v>
      </c>
      <c r="BC68" s="446">
        <f>IFERROR(HLOOKUP(HLOOKUP(BC$17,$V$18:$AE68,COUNTA($AK$18:$AK68),FALSE),Inputs!$B$58:$H$59,2,FALSE),0)</f>
        <v>0</v>
      </c>
      <c r="BD68" s="447">
        <f t="shared" ref="BD68" si="913">2*$AK68*BC68*$AL68/100*$AM68</f>
        <v>0</v>
      </c>
      <c r="BE68" s="447">
        <f t="shared" si="306"/>
        <v>0</v>
      </c>
      <c r="BF68" s="446">
        <f>IFERROR(HLOOKUP(HLOOKUP(BF$17,$V$18:$AE68,COUNTA($AK$18:$AK68),FALSE),Inputs!$B$58:$H$59,2,FALSE),0)</f>
        <v>0</v>
      </c>
      <c r="BG68" s="447">
        <f t="shared" ref="BG68" si="914">2*$AK68*BF68*$AL68/100*$AM68</f>
        <v>0</v>
      </c>
      <c r="BH68" s="447">
        <f t="shared" si="308"/>
        <v>0</v>
      </c>
      <c r="BI68" s="446">
        <f>IFERROR(HLOOKUP(HLOOKUP(BI$17,$V$18:$AE68,COUNTA($AK$18:$AK68),FALSE),Inputs!$B$58:$H$59,2,FALSE),0)</f>
        <v>0</v>
      </c>
      <c r="BJ68" s="447">
        <f t="shared" ref="BJ68" si="915">2*$AK68*BI68*$AL68/100*$AM68</f>
        <v>0</v>
      </c>
      <c r="BK68" s="447">
        <f t="shared" si="310"/>
        <v>0</v>
      </c>
      <c r="BL68" s="446">
        <f>IFERROR(HLOOKUP(HLOOKUP(BL$17,$V$18:$AE68,COUNTA($AK$18:$AK68),FALSE),Inputs!$B$58:$H$59,2,FALSE),0)</f>
        <v>0</v>
      </c>
      <c r="BM68" s="447">
        <f t="shared" ref="BM68" si="916">2*$AK68*BL68*$AL68/100*$AM68</f>
        <v>0</v>
      </c>
      <c r="BN68" s="447">
        <f t="shared" si="312"/>
        <v>0</v>
      </c>
      <c r="BO68" s="446">
        <f>IFERROR(HLOOKUP(HLOOKUP(BO$17,$V$18:$AE68,COUNTA($AK$18:$AK68),FALSE),Inputs!$B$58:$H$59,2,FALSE),0)</f>
        <v>0</v>
      </c>
      <c r="BP68" s="447">
        <f t="shared" ref="BP68" si="917">2*$AK68*BO68*$AL68/100*$AM68</f>
        <v>0</v>
      </c>
      <c r="BQ68" s="447">
        <f t="shared" si="314"/>
        <v>0</v>
      </c>
      <c r="BR68" s="54"/>
      <c r="BS68" s="103">
        <f t="shared" ca="1" si="735"/>
        <v>633.45618572539797</v>
      </c>
      <c r="BT68" s="103">
        <f t="shared" ca="1" si="396"/>
        <v>445.70624003710583</v>
      </c>
      <c r="BU68" s="103">
        <f t="shared" si="397"/>
        <v>541.68672214182345</v>
      </c>
      <c r="BV68" s="103">
        <f t="shared" si="398"/>
        <v>0</v>
      </c>
      <c r="BW68" s="152">
        <f t="shared" ca="1" si="399"/>
        <v>1620.8491479043273</v>
      </c>
      <c r="BX68" s="441"/>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188">
        <f t="shared" si="315"/>
        <v>2.9599999999999991</v>
      </c>
      <c r="DE68" s="188">
        <f t="shared" si="316"/>
        <v>0.76999999999999957</v>
      </c>
      <c r="DF68" s="188">
        <f t="shared" si="317"/>
        <v>0.46999999999999975</v>
      </c>
      <c r="DG68" s="188">
        <f t="shared" si="318"/>
        <v>0.16999999999999993</v>
      </c>
      <c r="DH68" s="188">
        <f t="shared" si="319"/>
        <v>-0.29000000000000004</v>
      </c>
      <c r="DI68" s="188">
        <f t="shared" si="320"/>
        <v>-0.3</v>
      </c>
      <c r="DJ68" s="188">
        <f t="shared" si="321"/>
        <v>-0.3</v>
      </c>
      <c r="DK68" s="188">
        <f t="shared" si="322"/>
        <v>-0.3</v>
      </c>
      <c r="DL68" s="188">
        <f t="shared" si="323"/>
        <v>-0.3</v>
      </c>
      <c r="DM68" s="188">
        <f t="shared" si="324"/>
        <v>-0.3</v>
      </c>
      <c r="DN68" s="189">
        <f t="shared" si="325"/>
        <v>3.6599999999999993</v>
      </c>
      <c r="DO68" s="189">
        <f t="shared" si="326"/>
        <v>1.4699999999999998</v>
      </c>
      <c r="DP68" s="189">
        <f t="shared" si="327"/>
        <v>1.17</v>
      </c>
      <c r="DQ68" s="189">
        <f t="shared" si="328"/>
        <v>0.87000000000000011</v>
      </c>
      <c r="DR68" s="189">
        <f t="shared" si="329"/>
        <v>0.41000000000000014</v>
      </c>
      <c r="DS68" s="189">
        <f t="shared" si="330"/>
        <v>0</v>
      </c>
      <c r="DT68" s="189">
        <f t="shared" si="331"/>
        <v>0</v>
      </c>
      <c r="DU68" s="189">
        <f t="shared" si="332"/>
        <v>0</v>
      </c>
      <c r="DV68" s="189">
        <f t="shared" si="333"/>
        <v>0</v>
      </c>
      <c r="DW68" s="189">
        <f t="shared" si="334"/>
        <v>0</v>
      </c>
      <c r="DX68" s="54"/>
      <c r="DY68" s="54"/>
      <c r="DZ68" s="199">
        <f t="shared" ca="1" si="736"/>
        <v>77679.176374819101</v>
      </c>
      <c r="EA68" s="200">
        <f t="shared" si="335"/>
        <v>1</v>
      </c>
      <c r="EB68" s="201">
        <f t="shared" ca="1" si="737"/>
        <v>58677.283708671122</v>
      </c>
      <c r="EC68" s="200">
        <f t="shared" si="336"/>
        <v>1</v>
      </c>
      <c r="ED68" s="201" cm="1">
        <f t="array" ref="ED68">IF(LEFT($AG68,3)="Res",IF(OR($DN68&gt;External_Threshold,$DD68&gt;0),1*Uplift*AWE*(External),0),0)</f>
        <v>15481.186685962373</v>
      </c>
      <c r="EE68" s="200">
        <f t="shared" si="337"/>
        <v>1</v>
      </c>
      <c r="EF68" s="201">
        <f t="shared" si="738"/>
        <v>0</v>
      </c>
      <c r="EG68" s="203">
        <f t="shared" si="338"/>
        <v>0</v>
      </c>
      <c r="EH68" s="199">
        <f t="shared" ca="1" si="739"/>
        <v>42786.129703328515</v>
      </c>
      <c r="EI68" s="200">
        <f t="shared" si="241"/>
        <v>1</v>
      </c>
      <c r="EJ68" s="201">
        <f t="shared" ca="1" si="740"/>
        <v>41641.237065393085</v>
      </c>
      <c r="EK68" s="200">
        <f t="shared" si="243"/>
        <v>1</v>
      </c>
      <c r="EL68" s="201" cm="1">
        <f t="array" ref="EL68">IF(LEFT($AG68,3)="Res",IF(OR($DO68&gt;External_Threshold,$DE68&gt;0),1*Uplift*AWE*(External),0),0)</f>
        <v>15481.186685962373</v>
      </c>
      <c r="EM68" s="200">
        <f t="shared" si="244"/>
        <v>1</v>
      </c>
      <c r="EN68" s="201">
        <f t="shared" si="741"/>
        <v>0</v>
      </c>
      <c r="EO68" s="203">
        <f t="shared" si="339"/>
        <v>0</v>
      </c>
      <c r="EP68" s="199">
        <f t="shared" ca="1" si="742"/>
        <v>40870.332850940664</v>
      </c>
      <c r="EQ68" s="200">
        <f t="shared" si="247"/>
        <v>1</v>
      </c>
      <c r="ER68" s="201">
        <f t="shared" ca="1" si="743"/>
        <v>34116.291567374836</v>
      </c>
      <c r="ES68" s="200">
        <f t="shared" si="249"/>
        <v>1</v>
      </c>
      <c r="ET68" s="201" cm="1">
        <f t="array" ref="ET68">IF(LEFT($AG68,3)="Res",IF(OR($DP68&gt;External_Threshold,$DF68&gt;0),1*Uplift*AWE*(External),0),0)</f>
        <v>15481.186685962373</v>
      </c>
      <c r="EU68" s="200">
        <f t="shared" si="250"/>
        <v>1</v>
      </c>
      <c r="EV68" s="201">
        <f t="shared" si="744"/>
        <v>0</v>
      </c>
      <c r="EW68" s="203">
        <f t="shared" si="340"/>
        <v>0</v>
      </c>
      <c r="EX68" s="199">
        <f t="shared" ca="1" si="745"/>
        <v>38124.357362518094</v>
      </c>
      <c r="EY68" s="200">
        <f t="shared" si="253"/>
        <v>1</v>
      </c>
      <c r="EZ68" s="201">
        <f t="shared" ca="1" si="746"/>
        <v>19594.971999909729</v>
      </c>
      <c r="FA68" s="200">
        <f t="shared" si="255"/>
        <v>1</v>
      </c>
      <c r="FB68" s="201" cm="1">
        <f t="array" ref="FB68">IF(LEFT($AG68,3)="Res",IF(OR($DQ68&gt;External_Threshold,$DG68&gt;0),1*Uplift*AWE*(External),0),0)</f>
        <v>15481.186685962373</v>
      </c>
      <c r="FC68" s="200">
        <f t="shared" si="256"/>
        <v>1</v>
      </c>
      <c r="FD68" s="201">
        <f t="shared" si="257"/>
        <v>0</v>
      </c>
      <c r="FE68" s="203">
        <f t="shared" si="341"/>
        <v>0</v>
      </c>
      <c r="FF68" s="199">
        <f t="shared" ca="1" si="747"/>
        <v>0</v>
      </c>
      <c r="FG68" s="200">
        <f t="shared" si="259"/>
        <v>0</v>
      </c>
      <c r="FH68" s="201">
        <f t="shared" ca="1" si="748"/>
        <v>0</v>
      </c>
      <c r="FI68" s="200">
        <f t="shared" si="261"/>
        <v>0</v>
      </c>
      <c r="FJ68" s="201" cm="1">
        <f t="array" ref="FJ68">IF(LEFT($AG68,3)="Res",IF(OR($DR68&gt;External_Threshold,$DH68&gt;0),1*Uplift*AWE*(External),0),0)</f>
        <v>15481.186685962373</v>
      </c>
      <c r="FK68" s="200">
        <f t="shared" si="262"/>
        <v>1</v>
      </c>
      <c r="FL68" s="201">
        <f t="shared" si="749"/>
        <v>0</v>
      </c>
      <c r="FM68" s="203">
        <f t="shared" si="342"/>
        <v>0</v>
      </c>
      <c r="FN68" s="199">
        <f t="shared" ca="1" si="750"/>
        <v>0</v>
      </c>
      <c r="FO68" s="200">
        <f t="shared" si="265"/>
        <v>0</v>
      </c>
      <c r="FP68" s="201">
        <f t="shared" ca="1" si="751"/>
        <v>0</v>
      </c>
      <c r="FQ68" s="200">
        <f t="shared" si="267"/>
        <v>0</v>
      </c>
      <c r="FR68" s="201" cm="1">
        <f t="array" ref="FR68">IF(LEFT($AG68,3)="Res",IF(OR($DS68&gt;External_Threshold,$DI68&gt;0),1*Uplift*AWE*(External),0),0)</f>
        <v>0</v>
      </c>
      <c r="FS68" s="200">
        <f t="shared" si="268"/>
        <v>0</v>
      </c>
      <c r="FT68" s="201">
        <f t="shared" si="752"/>
        <v>0</v>
      </c>
      <c r="FU68" s="203">
        <f t="shared" si="343"/>
        <v>0</v>
      </c>
      <c r="FV68" s="199">
        <f t="shared" ca="1" si="753"/>
        <v>0</v>
      </c>
      <c r="FW68" s="200">
        <f t="shared" si="271"/>
        <v>0</v>
      </c>
      <c r="FX68" s="201">
        <f t="shared" ca="1" si="754"/>
        <v>0</v>
      </c>
      <c r="FY68" s="200">
        <f t="shared" si="273"/>
        <v>0</v>
      </c>
      <c r="FZ68" s="201" cm="1">
        <f t="array" ref="FZ68">IF(LEFT($AG68,3)="Res",IF(OR($DT68&gt;External_Threshold,$DJ68&gt;0),1*Uplift*AWE*(External),0),0)</f>
        <v>0</v>
      </c>
      <c r="GA68" s="200">
        <f t="shared" si="274"/>
        <v>0</v>
      </c>
      <c r="GB68" s="201">
        <f t="shared" si="755"/>
        <v>0</v>
      </c>
      <c r="GC68" s="203">
        <f t="shared" si="344"/>
        <v>0</v>
      </c>
      <c r="GD68" s="199">
        <f t="shared" ca="1" si="756"/>
        <v>0</v>
      </c>
      <c r="GE68" s="200">
        <f t="shared" si="277"/>
        <v>0</v>
      </c>
      <c r="GF68" s="201">
        <f t="shared" ca="1" si="757"/>
        <v>0</v>
      </c>
      <c r="GG68" s="200">
        <f t="shared" si="279"/>
        <v>0</v>
      </c>
      <c r="GH68" s="201" cm="1">
        <f t="array" ref="GH68">IF(LEFT($AG68,3)="Res",IF(OR($DU68&gt;External_Threshold,$DK68&gt;0),1*Uplift*AWE*(External),0),0)</f>
        <v>0</v>
      </c>
      <c r="GI68" s="200">
        <f t="shared" si="280"/>
        <v>0</v>
      </c>
      <c r="GJ68" s="201">
        <f t="shared" si="758"/>
        <v>0</v>
      </c>
      <c r="GK68" s="203">
        <f t="shared" si="345"/>
        <v>0</v>
      </c>
      <c r="GL68" s="199">
        <f t="shared" ca="1" si="759"/>
        <v>0</v>
      </c>
      <c r="GM68" s="200">
        <f t="shared" si="283"/>
        <v>0</v>
      </c>
      <c r="GN68" s="201">
        <f t="shared" ca="1" si="760"/>
        <v>0</v>
      </c>
      <c r="GO68" s="200">
        <f t="shared" si="285"/>
        <v>0</v>
      </c>
      <c r="GP68" s="201" cm="1">
        <f t="array" ref="GP68">IF(LEFT($AG68,3)="Res",IF(OR($DV68&gt;External_Threshold,$DL68&gt;0),1*Uplift*AWE*(External),0),0)</f>
        <v>0</v>
      </c>
      <c r="GQ68" s="200">
        <f t="shared" si="286"/>
        <v>0</v>
      </c>
      <c r="GR68" s="201">
        <f t="shared" si="761"/>
        <v>0</v>
      </c>
      <c r="GS68" s="203">
        <f t="shared" si="346"/>
        <v>0</v>
      </c>
      <c r="GT68" s="199">
        <f t="shared" ca="1" si="762"/>
        <v>0</v>
      </c>
      <c r="GU68" s="200">
        <f t="shared" si="289"/>
        <v>0</v>
      </c>
      <c r="GV68" s="201">
        <f t="shared" ca="1" si="763"/>
        <v>0</v>
      </c>
      <c r="GW68" s="200">
        <f t="shared" si="291"/>
        <v>0</v>
      </c>
      <c r="GX68" s="201" cm="1">
        <f t="array" ref="GX68">IF(LEFT($AG68,3)="Res",IF(OR($DW68&gt;External_Threshold,$DM68&gt;0),1*Uplift*AWE*(External),0),0)</f>
        <v>0</v>
      </c>
      <c r="GY68" s="200">
        <f t="shared" si="292"/>
        <v>0</v>
      </c>
      <c r="GZ68" s="201">
        <f t="shared" si="764"/>
        <v>0</v>
      </c>
      <c r="HA68" s="203">
        <f t="shared" si="347"/>
        <v>0</v>
      </c>
      <c r="HB68" s="54"/>
      <c r="HC68" s="54"/>
      <c r="HD68" s="54"/>
      <c r="HE68" s="54"/>
      <c r="HF68" s="54"/>
      <c r="HG68" s="201">
        <f t="shared" ca="1" si="348"/>
        <v>151837.64676945261</v>
      </c>
      <c r="HH68" s="201">
        <f t="shared" ca="1" si="349"/>
        <v>99908.553454683977</v>
      </c>
      <c r="HI68" s="201">
        <f t="shared" ca="1" si="350"/>
        <v>90467.811104277876</v>
      </c>
      <c r="HJ68" s="201">
        <f t="shared" ca="1" si="351"/>
        <v>73200.5160483902</v>
      </c>
      <c r="HK68" s="201">
        <f t="shared" ca="1" si="352"/>
        <v>15481.186685962373</v>
      </c>
      <c r="HL68" s="201">
        <f t="shared" ca="1" si="353"/>
        <v>0</v>
      </c>
      <c r="HM68" s="201">
        <f t="shared" ca="1" si="354"/>
        <v>0</v>
      </c>
      <c r="HN68" s="201">
        <f t="shared" ca="1" si="355"/>
        <v>0</v>
      </c>
      <c r="HO68" s="201">
        <f t="shared" ca="1" si="356"/>
        <v>0</v>
      </c>
      <c r="HP68" s="201">
        <f t="shared" ca="1" si="357"/>
        <v>0</v>
      </c>
      <c r="HQ68" s="54"/>
    </row>
    <row r="69" spans="1:225" x14ac:dyDescent="0.3">
      <c r="A69" s="513">
        <v>51</v>
      </c>
      <c r="B69" s="514" t="s">
        <v>474</v>
      </c>
      <c r="C69" s="514" t="s">
        <v>390</v>
      </c>
      <c r="D69" s="514" t="s">
        <v>390</v>
      </c>
      <c r="E69" s="513">
        <v>1</v>
      </c>
      <c r="F69" s="515">
        <v>4.9800000000000004</v>
      </c>
      <c r="G69" s="515">
        <v>3.78</v>
      </c>
      <c r="H69" s="513">
        <v>1</v>
      </c>
      <c r="I69" s="517">
        <v>1</v>
      </c>
      <c r="J69" s="518" t="s">
        <v>43</v>
      </c>
      <c r="K69" s="513">
        <f t="shared" si="724"/>
        <v>180</v>
      </c>
      <c r="L69" s="519">
        <v>8.7199999999999989</v>
      </c>
      <c r="M69" s="519">
        <v>6.5299999999999994</v>
      </c>
      <c r="N69" s="519">
        <v>6.2299999999999995</v>
      </c>
      <c r="O69" s="519">
        <v>5.93</v>
      </c>
      <c r="P69" s="519">
        <v>5.47</v>
      </c>
      <c r="Q69" s="519">
        <v>5</v>
      </c>
      <c r="R69" s="519">
        <v>4.2</v>
      </c>
      <c r="S69" s="519">
        <v>0</v>
      </c>
      <c r="T69" s="519">
        <v>0</v>
      </c>
      <c r="U69" s="519">
        <v>0</v>
      </c>
      <c r="V69" s="536"/>
      <c r="W69" s="536"/>
      <c r="X69" s="536"/>
      <c r="Y69" s="536"/>
      <c r="Z69" s="536"/>
      <c r="AA69" s="536"/>
      <c r="AB69" s="536"/>
      <c r="AC69" s="536"/>
      <c r="AD69" s="536"/>
      <c r="AE69" s="536"/>
      <c r="AF69" s="54"/>
      <c r="AG69" s="204" t="str">
        <f t="shared" si="465"/>
        <v>Res1</v>
      </c>
      <c r="AH69" s="204">
        <f t="shared" si="294"/>
        <v>5</v>
      </c>
      <c r="AI69" s="204">
        <f t="shared" si="725"/>
        <v>1</v>
      </c>
      <c r="AJ69" s="54"/>
      <c r="AK69" s="74">
        <f>IFERROR(IF(H69&gt;4,0,AI69*Inputs!$C$55),0)</f>
        <v>2.6</v>
      </c>
      <c r="AL69" s="81">
        <f>IFERROR(Inputs!$C$73,0)</f>
        <v>5</v>
      </c>
      <c r="AM69" s="211">
        <f>IFERROR(Inputs!$C$74,0)</f>
        <v>0.24299999999999999</v>
      </c>
      <c r="AN69" s="446">
        <f>IFERROR(HLOOKUP(HLOOKUP(AN$17,$V$18:$AE69,COUNTA($AK$18:$AK69),FALSE),Inputs!$B$58:$H$59,2,FALSE),0)</f>
        <v>0</v>
      </c>
      <c r="AO69" s="447">
        <f t="shared" si="295"/>
        <v>0</v>
      </c>
      <c r="AP69" s="447">
        <f t="shared" si="296"/>
        <v>0</v>
      </c>
      <c r="AQ69" s="446">
        <f>IFERROR(HLOOKUP(HLOOKUP(AQ$17,$V$18:$AE69,COUNTA($AK$18:$AK69),FALSE),Inputs!$B$58:$H$59,2,FALSE),0)</f>
        <v>0</v>
      </c>
      <c r="AR69" s="447">
        <f t="shared" ref="AR69" si="918">2*$AK69*AQ69*$AL69/100*$AM69</f>
        <v>0</v>
      </c>
      <c r="AS69" s="447">
        <f t="shared" si="298"/>
        <v>0</v>
      </c>
      <c r="AT69" s="446">
        <f>IFERROR(HLOOKUP(HLOOKUP(AT$17,$V$18:$AE69,COUNTA($AK$18:$AK69),FALSE),Inputs!$B$58:$H$59,2,FALSE),0)</f>
        <v>0</v>
      </c>
      <c r="AU69" s="447">
        <f t="shared" ref="AU69" si="919">2*$AK69*AT69*$AL69/100*$AM69</f>
        <v>0</v>
      </c>
      <c r="AV69" s="447">
        <f t="shared" si="300"/>
        <v>0</v>
      </c>
      <c r="AW69" s="446">
        <f>IFERROR(HLOOKUP(HLOOKUP(AW$17,$V$18:$AE69,COUNTA($AK$18:$AK69),FALSE),Inputs!$B$58:$H$59,2,FALSE),0)</f>
        <v>0</v>
      </c>
      <c r="AX69" s="447">
        <f t="shared" ref="AX69" si="920">2*$AK69*AW69*$AL69/100*$AM69</f>
        <v>0</v>
      </c>
      <c r="AY69" s="447">
        <f t="shared" si="302"/>
        <v>0</v>
      </c>
      <c r="AZ69" s="446">
        <f>IFERROR(HLOOKUP(HLOOKUP(AZ$17,$V$18:$AE69,COUNTA($AK$18:$AK69),FALSE),Inputs!$B$58:$H$59,2,FALSE),0)</f>
        <v>0</v>
      </c>
      <c r="BA69" s="447">
        <f t="shared" ref="BA69" si="921">2*$AK69*AZ69*$AL69/100*$AM69</f>
        <v>0</v>
      </c>
      <c r="BB69" s="447">
        <f t="shared" si="304"/>
        <v>0</v>
      </c>
      <c r="BC69" s="446">
        <f>IFERROR(HLOOKUP(HLOOKUP(BC$17,$V$18:$AE69,COUNTA($AK$18:$AK69),FALSE),Inputs!$B$58:$H$59,2,FALSE),0)</f>
        <v>0</v>
      </c>
      <c r="BD69" s="447">
        <f t="shared" ref="BD69" si="922">2*$AK69*BC69*$AL69/100*$AM69</f>
        <v>0</v>
      </c>
      <c r="BE69" s="447">
        <f t="shared" si="306"/>
        <v>0</v>
      </c>
      <c r="BF69" s="446">
        <f>IFERROR(HLOOKUP(HLOOKUP(BF$17,$V$18:$AE69,COUNTA($AK$18:$AK69),FALSE),Inputs!$B$58:$H$59,2,FALSE),0)</f>
        <v>0</v>
      </c>
      <c r="BG69" s="447">
        <f t="shared" ref="BG69" si="923">2*$AK69*BF69*$AL69/100*$AM69</f>
        <v>0</v>
      </c>
      <c r="BH69" s="447">
        <f t="shared" si="308"/>
        <v>0</v>
      </c>
      <c r="BI69" s="446">
        <f>IFERROR(HLOOKUP(HLOOKUP(BI$17,$V$18:$AE69,COUNTA($AK$18:$AK69),FALSE),Inputs!$B$58:$H$59,2,FALSE),0)</f>
        <v>0</v>
      </c>
      <c r="BJ69" s="447">
        <f t="shared" ref="BJ69" si="924">2*$AK69*BI69*$AL69/100*$AM69</f>
        <v>0</v>
      </c>
      <c r="BK69" s="447">
        <f t="shared" si="310"/>
        <v>0</v>
      </c>
      <c r="BL69" s="446">
        <f>IFERROR(HLOOKUP(HLOOKUP(BL$17,$V$18:$AE69,COUNTA($AK$18:$AK69),FALSE),Inputs!$B$58:$H$59,2,FALSE),0)</f>
        <v>0</v>
      </c>
      <c r="BM69" s="447">
        <f t="shared" ref="BM69" si="925">2*$AK69*BL69*$AL69/100*$AM69</f>
        <v>0</v>
      </c>
      <c r="BN69" s="447">
        <f t="shared" si="312"/>
        <v>0</v>
      </c>
      <c r="BO69" s="446">
        <f>IFERROR(HLOOKUP(HLOOKUP(BO$17,$V$18:$AE69,COUNTA($AK$18:$AK69),FALSE),Inputs!$B$58:$H$59,2,FALSE),0)</f>
        <v>0</v>
      </c>
      <c r="BP69" s="447">
        <f t="shared" ref="BP69" si="926">2*$AK69*BO69*$AL69/100*$AM69</f>
        <v>0</v>
      </c>
      <c r="BQ69" s="447">
        <f t="shared" si="314"/>
        <v>0</v>
      </c>
      <c r="BR69" s="54"/>
      <c r="BS69" s="103">
        <f t="shared" ca="1" si="735"/>
        <v>3358.9233668560059</v>
      </c>
      <c r="BT69" s="103">
        <f t="shared" ca="1" si="396"/>
        <v>2555.4643284008293</v>
      </c>
      <c r="BU69" s="103">
        <f t="shared" si="397"/>
        <v>2322.023191027497</v>
      </c>
      <c r="BV69" s="103">
        <f t="shared" si="398"/>
        <v>0</v>
      </c>
      <c r="BW69" s="152">
        <f t="shared" ca="1" si="399"/>
        <v>8236.4108862843314</v>
      </c>
      <c r="BX69" s="441"/>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188">
        <f t="shared" si="315"/>
        <v>3.7399999999999984</v>
      </c>
      <c r="DE69" s="188">
        <f t="shared" si="316"/>
        <v>1.5499999999999989</v>
      </c>
      <c r="DF69" s="188">
        <f t="shared" si="317"/>
        <v>1.2499999999999991</v>
      </c>
      <c r="DG69" s="188">
        <f t="shared" si="318"/>
        <v>0.94999999999999929</v>
      </c>
      <c r="DH69" s="188">
        <f t="shared" si="319"/>
        <v>0.48999999999999932</v>
      </c>
      <c r="DI69" s="188">
        <f t="shared" si="320"/>
        <v>1.9999999999999574E-2</v>
      </c>
      <c r="DJ69" s="188">
        <f t="shared" si="321"/>
        <v>-0.3</v>
      </c>
      <c r="DK69" s="188">
        <f t="shared" si="322"/>
        <v>-0.3</v>
      </c>
      <c r="DL69" s="188">
        <f t="shared" si="323"/>
        <v>-0.3</v>
      </c>
      <c r="DM69" s="188">
        <f t="shared" si="324"/>
        <v>-0.3</v>
      </c>
      <c r="DN69" s="189">
        <f t="shared" si="325"/>
        <v>4.9399999999999995</v>
      </c>
      <c r="DO69" s="189">
        <f t="shared" si="326"/>
        <v>2.7499999999999996</v>
      </c>
      <c r="DP69" s="189">
        <f t="shared" si="327"/>
        <v>2.4499999999999997</v>
      </c>
      <c r="DQ69" s="189">
        <f t="shared" si="328"/>
        <v>2.15</v>
      </c>
      <c r="DR69" s="189">
        <f t="shared" si="329"/>
        <v>1.69</v>
      </c>
      <c r="DS69" s="189">
        <f t="shared" si="330"/>
        <v>1.2200000000000002</v>
      </c>
      <c r="DT69" s="189">
        <f t="shared" si="331"/>
        <v>0.42000000000000037</v>
      </c>
      <c r="DU69" s="189">
        <f t="shared" si="332"/>
        <v>0</v>
      </c>
      <c r="DV69" s="189">
        <f t="shared" si="333"/>
        <v>0</v>
      </c>
      <c r="DW69" s="189">
        <f t="shared" si="334"/>
        <v>0</v>
      </c>
      <c r="DX69" s="54"/>
      <c r="DY69" s="54"/>
      <c r="DZ69" s="199">
        <f t="shared" ca="1" si="736"/>
        <v>157010.19536903041</v>
      </c>
      <c r="EA69" s="200">
        <f t="shared" si="335"/>
        <v>1</v>
      </c>
      <c r="EB69" s="201">
        <f t="shared" ca="1" si="737"/>
        <v>100954.56741734224</v>
      </c>
      <c r="EC69" s="200">
        <f t="shared" si="336"/>
        <v>1</v>
      </c>
      <c r="ED69" s="201" cm="1">
        <f t="array" ref="ED69">IF(LEFT($AG69,3)="Res",IF(OR($DN69&gt;External_Threshold,$DD69&gt;0),1*Uplift*AWE*(External),0),0)</f>
        <v>15481.186685962373</v>
      </c>
      <c r="EE69" s="200">
        <f t="shared" si="337"/>
        <v>1</v>
      </c>
      <c r="EF69" s="201">
        <f t="shared" si="738"/>
        <v>0</v>
      </c>
      <c r="EG69" s="203">
        <f t="shared" si="338"/>
        <v>0</v>
      </c>
      <c r="EH69" s="199">
        <f t="shared" ca="1" si="739"/>
        <v>111337.59840810423</v>
      </c>
      <c r="EI69" s="200">
        <f t="shared" si="241"/>
        <v>1</v>
      </c>
      <c r="EJ69" s="201">
        <f t="shared" ca="1" si="740"/>
        <v>95091.696816187919</v>
      </c>
      <c r="EK69" s="200">
        <f t="shared" si="243"/>
        <v>1</v>
      </c>
      <c r="EL69" s="201" cm="1">
        <f t="array" ref="EL69">IF(LEFT($AG69,3)="Res",IF(OR($DO69&gt;External_Threshold,$DE69&gt;0),1*Uplift*AWE*(External),0),0)</f>
        <v>15481.186685962373</v>
      </c>
      <c r="EM69" s="200">
        <f t="shared" si="244"/>
        <v>1</v>
      </c>
      <c r="EN69" s="201">
        <f t="shared" si="741"/>
        <v>0</v>
      </c>
      <c r="EO69" s="203">
        <f t="shared" si="339"/>
        <v>0</v>
      </c>
      <c r="EP69" s="199">
        <f t="shared" ca="1" si="742"/>
        <v>100132.31548480465</v>
      </c>
      <c r="EQ69" s="200">
        <f t="shared" si="247"/>
        <v>1</v>
      </c>
      <c r="ER69" s="201">
        <f t="shared" ca="1" si="743"/>
        <v>91021.436636040264</v>
      </c>
      <c r="ES69" s="200">
        <f t="shared" si="249"/>
        <v>1</v>
      </c>
      <c r="ET69" s="201" cm="1">
        <f t="array" ref="ET69">IF(LEFT($AG69,3)="Res",IF(OR($DP69&gt;External_Threshold,$DF69&gt;0),1*Uplift*AWE*(External),0),0)</f>
        <v>15481.186685962373</v>
      </c>
      <c r="EU69" s="200">
        <f t="shared" si="250"/>
        <v>1</v>
      </c>
      <c r="EV69" s="201">
        <f t="shared" si="744"/>
        <v>0</v>
      </c>
      <c r="EW69" s="203">
        <f t="shared" si="340"/>
        <v>0</v>
      </c>
      <c r="EX69" s="199">
        <f t="shared" ca="1" si="745"/>
        <v>88637.534370477588</v>
      </c>
      <c r="EY69" s="200">
        <f t="shared" si="253"/>
        <v>1</v>
      </c>
      <c r="EZ69" s="201">
        <f t="shared" ca="1" si="746"/>
        <v>84319.423062510061</v>
      </c>
      <c r="FA69" s="200">
        <f t="shared" si="255"/>
        <v>1</v>
      </c>
      <c r="FB69" s="201" cm="1">
        <f t="array" ref="FB69">IF(LEFT($AG69,3)="Res",IF(OR($DQ69&gt;External_Threshold,$DG69&gt;0),1*Uplift*AWE*(External),0),0)</f>
        <v>15481.186685962373</v>
      </c>
      <c r="FC69" s="200">
        <f t="shared" si="256"/>
        <v>1</v>
      </c>
      <c r="FD69" s="201">
        <f t="shared" si="257"/>
        <v>0</v>
      </c>
      <c r="FE69" s="203">
        <f t="shared" si="341"/>
        <v>0</v>
      </c>
      <c r="FF69" s="199">
        <f t="shared" ca="1" si="747"/>
        <v>81740.665701881328</v>
      </c>
      <c r="FG69" s="200">
        <f t="shared" si="259"/>
        <v>1</v>
      </c>
      <c r="FH69" s="201">
        <f t="shared" ca="1" si="748"/>
        <v>61063.966537559907</v>
      </c>
      <c r="FI69" s="200">
        <f t="shared" si="261"/>
        <v>1</v>
      </c>
      <c r="FJ69" s="201" cm="1">
        <f t="array" ref="FJ69">IF(LEFT($AG69,3)="Res",IF(OR($DR69&gt;External_Threshold,$DH69&gt;0),1*Uplift*AWE*(External),0),0)</f>
        <v>15481.186685962373</v>
      </c>
      <c r="FK69" s="200">
        <f t="shared" si="262"/>
        <v>1</v>
      </c>
      <c r="FL69" s="201">
        <f t="shared" si="749"/>
        <v>0</v>
      </c>
      <c r="FM69" s="203">
        <f t="shared" si="342"/>
        <v>0</v>
      </c>
      <c r="FN69" s="199">
        <f t="shared" ca="1" si="750"/>
        <v>5619.6707670043415</v>
      </c>
      <c r="FO69" s="200">
        <f t="shared" si="265"/>
        <v>1</v>
      </c>
      <c r="FP69" s="201">
        <f t="shared" ca="1" si="751"/>
        <v>0</v>
      </c>
      <c r="FQ69" s="200">
        <f t="shared" si="267"/>
        <v>1</v>
      </c>
      <c r="FR69" s="201" cm="1">
        <f t="array" ref="FR69">IF(LEFT($AG69,3)="Res",IF(OR($DS69&gt;External_Threshold,$DI69&gt;0),1*Uplift*AWE*(External),0),0)</f>
        <v>15481.186685962373</v>
      </c>
      <c r="FS69" s="200">
        <f t="shared" si="268"/>
        <v>1</v>
      </c>
      <c r="FT69" s="201">
        <f t="shared" si="752"/>
        <v>0</v>
      </c>
      <c r="FU69" s="203">
        <f t="shared" si="343"/>
        <v>0</v>
      </c>
      <c r="FV69" s="199">
        <f t="shared" ca="1" si="753"/>
        <v>0</v>
      </c>
      <c r="FW69" s="200">
        <f t="shared" si="271"/>
        <v>0</v>
      </c>
      <c r="FX69" s="201">
        <f t="shared" ca="1" si="754"/>
        <v>0</v>
      </c>
      <c r="FY69" s="200">
        <f t="shared" si="273"/>
        <v>0</v>
      </c>
      <c r="FZ69" s="201" cm="1">
        <f t="array" ref="FZ69">IF(LEFT($AG69,3)="Res",IF(OR($DT69&gt;External_Threshold,$DJ69&gt;0),1*Uplift*AWE*(External),0),0)</f>
        <v>15481.186685962373</v>
      </c>
      <c r="GA69" s="200">
        <f t="shared" si="274"/>
        <v>1</v>
      </c>
      <c r="GB69" s="201">
        <f t="shared" si="755"/>
        <v>0</v>
      </c>
      <c r="GC69" s="203">
        <f t="shared" si="344"/>
        <v>0</v>
      </c>
      <c r="GD69" s="199">
        <f t="shared" ca="1" si="756"/>
        <v>0</v>
      </c>
      <c r="GE69" s="200">
        <f t="shared" si="277"/>
        <v>0</v>
      </c>
      <c r="GF69" s="201">
        <f t="shared" ca="1" si="757"/>
        <v>0</v>
      </c>
      <c r="GG69" s="200">
        <f t="shared" si="279"/>
        <v>0</v>
      </c>
      <c r="GH69" s="201" cm="1">
        <f t="array" ref="GH69">IF(LEFT($AG69,3)="Res",IF(OR($DU69&gt;External_Threshold,$DK69&gt;0),1*Uplift*AWE*(External),0),0)</f>
        <v>0</v>
      </c>
      <c r="GI69" s="200">
        <f t="shared" si="280"/>
        <v>0</v>
      </c>
      <c r="GJ69" s="201">
        <f t="shared" si="758"/>
        <v>0</v>
      </c>
      <c r="GK69" s="203">
        <f t="shared" si="345"/>
        <v>0</v>
      </c>
      <c r="GL69" s="199">
        <f t="shared" ca="1" si="759"/>
        <v>0</v>
      </c>
      <c r="GM69" s="200">
        <f t="shared" si="283"/>
        <v>0</v>
      </c>
      <c r="GN69" s="201">
        <f t="shared" ca="1" si="760"/>
        <v>0</v>
      </c>
      <c r="GO69" s="200">
        <f t="shared" si="285"/>
        <v>0</v>
      </c>
      <c r="GP69" s="201" cm="1">
        <f t="array" ref="GP69">IF(LEFT($AG69,3)="Res",IF(OR($DV69&gt;External_Threshold,$DL69&gt;0),1*Uplift*AWE*(External),0),0)</f>
        <v>0</v>
      </c>
      <c r="GQ69" s="200">
        <f t="shared" si="286"/>
        <v>0</v>
      </c>
      <c r="GR69" s="201">
        <f t="shared" si="761"/>
        <v>0</v>
      </c>
      <c r="GS69" s="203">
        <f t="shared" si="346"/>
        <v>0</v>
      </c>
      <c r="GT69" s="199">
        <f t="shared" ca="1" si="762"/>
        <v>0</v>
      </c>
      <c r="GU69" s="200">
        <f t="shared" si="289"/>
        <v>0</v>
      </c>
      <c r="GV69" s="201">
        <f t="shared" ca="1" si="763"/>
        <v>0</v>
      </c>
      <c r="GW69" s="200">
        <f t="shared" si="291"/>
        <v>0</v>
      </c>
      <c r="GX69" s="201" cm="1">
        <f t="array" ref="GX69">IF(LEFT($AG69,3)="Res",IF(OR($DW69&gt;External_Threshold,$DM69&gt;0),1*Uplift*AWE*(External),0),0)</f>
        <v>0</v>
      </c>
      <c r="GY69" s="200">
        <f t="shared" si="292"/>
        <v>0</v>
      </c>
      <c r="GZ69" s="201">
        <f t="shared" si="764"/>
        <v>0</v>
      </c>
      <c r="HA69" s="203">
        <f t="shared" si="347"/>
        <v>0</v>
      </c>
      <c r="HB69" s="54"/>
      <c r="HC69" s="54"/>
      <c r="HD69" s="54"/>
      <c r="HE69" s="54"/>
      <c r="HF69" s="54"/>
      <c r="HG69" s="201">
        <f t="shared" ca="1" si="348"/>
        <v>273445.94947233505</v>
      </c>
      <c r="HH69" s="201">
        <f t="shared" ca="1" si="349"/>
        <v>221910.48191025452</v>
      </c>
      <c r="HI69" s="201">
        <f t="shared" ca="1" si="350"/>
        <v>206634.93880680727</v>
      </c>
      <c r="HJ69" s="201">
        <f t="shared" ca="1" si="351"/>
        <v>188438.14411895</v>
      </c>
      <c r="HK69" s="201">
        <f t="shared" ca="1" si="352"/>
        <v>158285.81892540361</v>
      </c>
      <c r="HL69" s="201">
        <f t="shared" ca="1" si="353"/>
        <v>21100.857452966717</v>
      </c>
      <c r="HM69" s="201">
        <f t="shared" ca="1" si="354"/>
        <v>15481.186685962373</v>
      </c>
      <c r="HN69" s="201">
        <f t="shared" ca="1" si="355"/>
        <v>0</v>
      </c>
      <c r="HO69" s="201">
        <f t="shared" ca="1" si="356"/>
        <v>0</v>
      </c>
      <c r="HP69" s="201">
        <f t="shared" ca="1" si="357"/>
        <v>0</v>
      </c>
      <c r="HQ69" s="54"/>
    </row>
    <row r="70" spans="1:225" x14ac:dyDescent="0.3">
      <c r="A70" s="513">
        <v>52</v>
      </c>
      <c r="B70" s="514" t="s">
        <v>475</v>
      </c>
      <c r="C70" s="514" t="s">
        <v>390</v>
      </c>
      <c r="D70" s="514" t="s">
        <v>390</v>
      </c>
      <c r="E70" s="513">
        <v>1</v>
      </c>
      <c r="F70" s="515">
        <v>4.42</v>
      </c>
      <c r="G70" s="515">
        <v>4.38</v>
      </c>
      <c r="H70" s="513">
        <v>2</v>
      </c>
      <c r="I70" s="517">
        <v>1</v>
      </c>
      <c r="J70" s="518" t="s">
        <v>44</v>
      </c>
      <c r="K70" s="513">
        <f t="shared" si="724"/>
        <v>240</v>
      </c>
      <c r="L70" s="519">
        <v>8.74</v>
      </c>
      <c r="M70" s="519">
        <v>6.5299999999999994</v>
      </c>
      <c r="N70" s="519">
        <v>6.2299999999999995</v>
      </c>
      <c r="O70" s="519">
        <v>5.93</v>
      </c>
      <c r="P70" s="519">
        <v>5.47</v>
      </c>
      <c r="Q70" s="519">
        <v>5</v>
      </c>
      <c r="R70" s="519">
        <v>4.2</v>
      </c>
      <c r="S70" s="519">
        <v>0</v>
      </c>
      <c r="T70" s="519">
        <v>0</v>
      </c>
      <c r="U70" s="519">
        <v>0</v>
      </c>
      <c r="V70" s="536"/>
      <c r="W70" s="536"/>
      <c r="X70" s="536"/>
      <c r="Y70" s="536"/>
      <c r="Z70" s="536"/>
      <c r="AA70" s="536"/>
      <c r="AB70" s="536"/>
      <c r="AC70" s="536"/>
      <c r="AD70" s="536"/>
      <c r="AE70" s="536"/>
      <c r="AF70" s="54"/>
      <c r="AG70" s="204" t="str">
        <f t="shared" si="465"/>
        <v>Res1</v>
      </c>
      <c r="AH70" s="204">
        <f t="shared" si="294"/>
        <v>6</v>
      </c>
      <c r="AI70" s="204">
        <f t="shared" si="725"/>
        <v>1</v>
      </c>
      <c r="AJ70" s="54"/>
      <c r="AK70" s="74">
        <f>IFERROR(IF(H70&gt;4,0,AI70*Inputs!$C$55),0)</f>
        <v>2.6</v>
      </c>
      <c r="AL70" s="81">
        <f>IFERROR(Inputs!$C$73,0)</f>
        <v>5</v>
      </c>
      <c r="AM70" s="211">
        <f>IFERROR(Inputs!$C$74,0)</f>
        <v>0.24299999999999999</v>
      </c>
      <c r="AN70" s="446">
        <f>IFERROR(HLOOKUP(HLOOKUP(AN$17,$V$18:$AE70,COUNTA($AK$18:$AK70),FALSE),Inputs!$B$58:$H$59,2,FALSE),0)</f>
        <v>0</v>
      </c>
      <c r="AO70" s="447">
        <f t="shared" si="295"/>
        <v>0</v>
      </c>
      <c r="AP70" s="447">
        <f t="shared" si="296"/>
        <v>0</v>
      </c>
      <c r="AQ70" s="446">
        <f>IFERROR(HLOOKUP(HLOOKUP(AQ$17,$V$18:$AE70,COUNTA($AK$18:$AK70),FALSE),Inputs!$B$58:$H$59,2,FALSE),0)</f>
        <v>0</v>
      </c>
      <c r="AR70" s="447">
        <f t="shared" ref="AR70" si="927">2*$AK70*AQ70*$AL70/100*$AM70</f>
        <v>0</v>
      </c>
      <c r="AS70" s="447">
        <f t="shared" si="298"/>
        <v>0</v>
      </c>
      <c r="AT70" s="446">
        <f>IFERROR(HLOOKUP(HLOOKUP(AT$17,$V$18:$AE70,COUNTA($AK$18:$AK70),FALSE),Inputs!$B$58:$H$59,2,FALSE),0)</f>
        <v>0</v>
      </c>
      <c r="AU70" s="447">
        <f t="shared" ref="AU70" si="928">2*$AK70*AT70*$AL70/100*$AM70</f>
        <v>0</v>
      </c>
      <c r="AV70" s="447">
        <f t="shared" si="300"/>
        <v>0</v>
      </c>
      <c r="AW70" s="446">
        <f>IFERROR(HLOOKUP(HLOOKUP(AW$17,$V$18:$AE70,COUNTA($AK$18:$AK70),FALSE),Inputs!$B$58:$H$59,2,FALSE),0)</f>
        <v>0</v>
      </c>
      <c r="AX70" s="447">
        <f t="shared" ref="AX70" si="929">2*$AK70*AW70*$AL70/100*$AM70</f>
        <v>0</v>
      </c>
      <c r="AY70" s="447">
        <f t="shared" si="302"/>
        <v>0</v>
      </c>
      <c r="AZ70" s="446">
        <f>IFERROR(HLOOKUP(HLOOKUP(AZ$17,$V$18:$AE70,COUNTA($AK$18:$AK70),FALSE),Inputs!$B$58:$H$59,2,FALSE),0)</f>
        <v>0</v>
      </c>
      <c r="BA70" s="447">
        <f t="shared" ref="BA70" si="930">2*$AK70*AZ70*$AL70/100*$AM70</f>
        <v>0</v>
      </c>
      <c r="BB70" s="447">
        <f t="shared" si="304"/>
        <v>0</v>
      </c>
      <c r="BC70" s="446">
        <f>IFERROR(HLOOKUP(HLOOKUP(BC$17,$V$18:$AE70,COUNTA($AK$18:$AK70),FALSE),Inputs!$B$58:$H$59,2,FALSE),0)</f>
        <v>0</v>
      </c>
      <c r="BD70" s="447">
        <f t="shared" ref="BD70" si="931">2*$AK70*BC70*$AL70/100*$AM70</f>
        <v>0</v>
      </c>
      <c r="BE70" s="447">
        <f t="shared" si="306"/>
        <v>0</v>
      </c>
      <c r="BF70" s="446">
        <f>IFERROR(HLOOKUP(HLOOKUP(BF$17,$V$18:$AE70,COUNTA($AK$18:$AK70),FALSE),Inputs!$B$58:$H$59,2,FALSE),0)</f>
        <v>0</v>
      </c>
      <c r="BG70" s="447">
        <f t="shared" ref="BG70" si="932">2*$AK70*BF70*$AL70/100*$AM70</f>
        <v>0</v>
      </c>
      <c r="BH70" s="447">
        <f t="shared" si="308"/>
        <v>0</v>
      </c>
      <c r="BI70" s="446">
        <f>IFERROR(HLOOKUP(HLOOKUP(BI$17,$V$18:$AE70,COUNTA($AK$18:$AK70),FALSE),Inputs!$B$58:$H$59,2,FALSE),0)</f>
        <v>0</v>
      </c>
      <c r="BJ70" s="447">
        <f t="shared" ref="BJ70" si="933">2*$AK70*BI70*$AL70/100*$AM70</f>
        <v>0</v>
      </c>
      <c r="BK70" s="447">
        <f t="shared" si="310"/>
        <v>0</v>
      </c>
      <c r="BL70" s="446">
        <f>IFERROR(HLOOKUP(HLOOKUP(BL$17,$V$18:$AE70,COUNTA($AK$18:$AK70),FALSE),Inputs!$B$58:$H$59,2,FALSE),0)</f>
        <v>0</v>
      </c>
      <c r="BM70" s="447">
        <f t="shared" ref="BM70" si="934">2*$AK70*BL70*$AL70/100*$AM70</f>
        <v>0</v>
      </c>
      <c r="BN70" s="447">
        <f t="shared" si="312"/>
        <v>0</v>
      </c>
      <c r="BO70" s="446">
        <f>IFERROR(HLOOKUP(HLOOKUP(BO$17,$V$18:$AE70,COUNTA($AK$18:$AK70),FALSE),Inputs!$B$58:$H$59,2,FALSE),0)</f>
        <v>0</v>
      </c>
      <c r="BP70" s="447">
        <f t="shared" ref="BP70" si="935">2*$AK70*BO70*$AL70/100*$AM70</f>
        <v>0</v>
      </c>
      <c r="BQ70" s="447">
        <f t="shared" si="314"/>
        <v>0</v>
      </c>
      <c r="BR70" s="54"/>
      <c r="BS70" s="103">
        <f t="shared" ca="1" si="735"/>
        <v>9394.5112464110007</v>
      </c>
      <c r="BT70" s="103">
        <f t="shared" ca="1" si="396"/>
        <v>7447.5408166340976</v>
      </c>
      <c r="BU70" s="103">
        <f t="shared" si="397"/>
        <v>1160.9341895803186</v>
      </c>
      <c r="BV70" s="103">
        <f t="shared" si="398"/>
        <v>0</v>
      </c>
      <c r="BW70" s="152">
        <f t="shared" ca="1" si="399"/>
        <v>18002.986252625418</v>
      </c>
      <c r="BX70" s="441"/>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188">
        <f t="shared" si="315"/>
        <v>4.32</v>
      </c>
      <c r="DE70" s="188">
        <f t="shared" si="316"/>
        <v>2.1099999999999994</v>
      </c>
      <c r="DF70" s="188">
        <f t="shared" si="317"/>
        <v>1.8099999999999996</v>
      </c>
      <c r="DG70" s="188">
        <f t="shared" si="318"/>
        <v>1.5099999999999998</v>
      </c>
      <c r="DH70" s="188">
        <f t="shared" si="319"/>
        <v>1.0499999999999998</v>
      </c>
      <c r="DI70" s="188">
        <f t="shared" si="320"/>
        <v>0.58000000000000007</v>
      </c>
      <c r="DJ70" s="188">
        <f t="shared" si="321"/>
        <v>-0.21999999999999975</v>
      </c>
      <c r="DK70" s="188">
        <f t="shared" si="322"/>
        <v>-0.3</v>
      </c>
      <c r="DL70" s="188">
        <f t="shared" si="323"/>
        <v>-0.3</v>
      </c>
      <c r="DM70" s="188">
        <f t="shared" si="324"/>
        <v>-0.3</v>
      </c>
      <c r="DN70" s="189">
        <f t="shared" si="325"/>
        <v>4.3600000000000003</v>
      </c>
      <c r="DO70" s="189">
        <f t="shared" si="326"/>
        <v>2.1499999999999995</v>
      </c>
      <c r="DP70" s="189">
        <f t="shared" si="327"/>
        <v>1.8499999999999996</v>
      </c>
      <c r="DQ70" s="189">
        <f t="shared" si="328"/>
        <v>1.5499999999999998</v>
      </c>
      <c r="DR70" s="189">
        <f t="shared" si="329"/>
        <v>1.0899999999999999</v>
      </c>
      <c r="DS70" s="189">
        <f t="shared" si="330"/>
        <v>0.62000000000000011</v>
      </c>
      <c r="DT70" s="189">
        <f t="shared" si="331"/>
        <v>0</v>
      </c>
      <c r="DU70" s="189">
        <f t="shared" si="332"/>
        <v>0</v>
      </c>
      <c r="DV70" s="189">
        <f t="shared" si="333"/>
        <v>0</v>
      </c>
      <c r="DW70" s="189">
        <f t="shared" si="334"/>
        <v>0</v>
      </c>
      <c r="DX70" s="54"/>
      <c r="DY70" s="54"/>
      <c r="DZ70" s="199">
        <f t="shared" ca="1" si="736"/>
        <v>209346.9271587072</v>
      </c>
      <c r="EA70" s="200">
        <f t="shared" si="335"/>
        <v>1</v>
      </c>
      <c r="EB70" s="201">
        <f t="shared" ca="1" si="737"/>
        <v>129139.423223123</v>
      </c>
      <c r="EC70" s="200">
        <f t="shared" si="336"/>
        <v>1</v>
      </c>
      <c r="ED70" s="201" cm="1">
        <f t="array" ref="ED70">IF(LEFT($AG70,3)="Res",IF(OR($DN70&gt;External_Threshold,$DD70&gt;0),1*Uplift*AWE*(External),0),0)</f>
        <v>15481.186685962373</v>
      </c>
      <c r="EE70" s="200">
        <f t="shared" si="337"/>
        <v>1</v>
      </c>
      <c r="EF70" s="201">
        <f t="shared" si="738"/>
        <v>0</v>
      </c>
      <c r="EG70" s="203">
        <f t="shared" si="338"/>
        <v>0</v>
      </c>
      <c r="EH70" s="199">
        <f t="shared" ca="1" si="739"/>
        <v>160802.05402797883</v>
      </c>
      <c r="EI70" s="200">
        <f t="shared" si="241"/>
        <v>1</v>
      </c>
      <c r="EJ70" s="201">
        <f t="shared" ca="1" si="740"/>
        <v>126899.87562177956</v>
      </c>
      <c r="EK70" s="200">
        <f t="shared" si="243"/>
        <v>1</v>
      </c>
      <c r="EL70" s="201" cm="1">
        <f t="array" ref="EL70">IF(LEFT($AG70,3)="Res",IF(OR($DO70&gt;External_Threshold,$DE70&gt;0),1*Uplift*AWE*(External),0),0)</f>
        <v>15481.186685962373</v>
      </c>
      <c r="EM70" s="200">
        <f t="shared" si="244"/>
        <v>1</v>
      </c>
      <c r="EN70" s="201">
        <f t="shared" si="741"/>
        <v>0</v>
      </c>
      <c r="EO70" s="203">
        <f t="shared" si="339"/>
        <v>0</v>
      </c>
      <c r="EP70" s="199">
        <f t="shared" ca="1" si="742"/>
        <v>151628.93487698989</v>
      </c>
      <c r="EQ70" s="200">
        <f t="shared" si="247"/>
        <v>1</v>
      </c>
      <c r="ER70" s="201">
        <f t="shared" ca="1" si="743"/>
        <v>125220.21492077195</v>
      </c>
      <c r="ES70" s="200">
        <f t="shared" si="249"/>
        <v>1</v>
      </c>
      <c r="ET70" s="201" cm="1">
        <f t="array" ref="ET70">IF(LEFT($AG70,3)="Res",IF(OR($DP70&gt;External_Threshold,$DF70&gt;0),1*Uplift*AWE*(External),0),0)</f>
        <v>15481.186685962373</v>
      </c>
      <c r="EU70" s="200">
        <f t="shared" si="250"/>
        <v>1</v>
      </c>
      <c r="EV70" s="201">
        <f t="shared" si="744"/>
        <v>0</v>
      </c>
      <c r="EW70" s="203">
        <f t="shared" si="340"/>
        <v>0</v>
      </c>
      <c r="EX70" s="199">
        <f t="shared" ca="1" si="745"/>
        <v>147814.37047756877</v>
      </c>
      <c r="EY70" s="200">
        <f t="shared" si="253"/>
        <v>1</v>
      </c>
      <c r="EZ70" s="201">
        <f t="shared" ca="1" si="746"/>
        <v>120417.76015932886</v>
      </c>
      <c r="FA70" s="200">
        <f t="shared" si="255"/>
        <v>1</v>
      </c>
      <c r="FB70" s="201" cm="1">
        <f t="array" ref="FB70">IF(LEFT($AG70,3)="Res",IF(OR($DQ70&gt;External_Threshold,$DG70&gt;0),1*Uplift*AWE*(External),0),0)</f>
        <v>15481.186685962373</v>
      </c>
      <c r="FC70" s="200">
        <f t="shared" si="256"/>
        <v>1</v>
      </c>
      <c r="FD70" s="201">
        <f t="shared" si="257"/>
        <v>0</v>
      </c>
      <c r="FE70" s="203">
        <f t="shared" si="341"/>
        <v>0</v>
      </c>
      <c r="FF70" s="199">
        <f t="shared" ca="1" si="747"/>
        <v>122066.06078147615</v>
      </c>
      <c r="FG70" s="200">
        <f t="shared" si="259"/>
        <v>1</v>
      </c>
      <c r="FH70" s="201">
        <f t="shared" ca="1" si="748"/>
        <v>112277.23979903357</v>
      </c>
      <c r="FI70" s="200">
        <f t="shared" si="261"/>
        <v>1</v>
      </c>
      <c r="FJ70" s="201" cm="1">
        <f t="array" ref="FJ70">IF(LEFT($AG70,3)="Res",IF(OR($DR70&gt;External_Threshold,$DH70&gt;0),1*Uplift*AWE*(External),0),0)</f>
        <v>15481.186685962373</v>
      </c>
      <c r="FK70" s="200">
        <f t="shared" si="262"/>
        <v>1</v>
      </c>
      <c r="FL70" s="201">
        <f t="shared" si="749"/>
        <v>0</v>
      </c>
      <c r="FM70" s="203">
        <f t="shared" si="342"/>
        <v>0</v>
      </c>
      <c r="FN70" s="199">
        <f t="shared" ca="1" si="750"/>
        <v>111031.07091172214</v>
      </c>
      <c r="FO70" s="200">
        <f t="shared" si="265"/>
        <v>1</v>
      </c>
      <c r="FP70" s="201">
        <f t="shared" ca="1" si="751"/>
        <v>83821.826099800572</v>
      </c>
      <c r="FQ70" s="200">
        <f t="shared" si="267"/>
        <v>1</v>
      </c>
      <c r="FR70" s="201" cm="1">
        <f t="array" ref="FR70">IF(LEFT($AG70,3)="Res",IF(OR($DS70&gt;External_Threshold,$DI70&gt;0),1*Uplift*AWE*(External),0),0)</f>
        <v>15481.186685962373</v>
      </c>
      <c r="FS70" s="200">
        <f t="shared" si="268"/>
        <v>1</v>
      </c>
      <c r="FT70" s="201">
        <f t="shared" si="752"/>
        <v>0</v>
      </c>
      <c r="FU70" s="203">
        <f t="shared" si="343"/>
        <v>0</v>
      </c>
      <c r="FV70" s="199">
        <f t="shared" ca="1" si="753"/>
        <v>2497.6314520019291</v>
      </c>
      <c r="FW70" s="200">
        <f t="shared" si="271"/>
        <v>0</v>
      </c>
      <c r="FX70" s="201">
        <f t="shared" ca="1" si="754"/>
        <v>0</v>
      </c>
      <c r="FY70" s="200">
        <f t="shared" si="273"/>
        <v>0</v>
      </c>
      <c r="FZ70" s="201" cm="1">
        <f t="array" ref="FZ70">IF(LEFT($AG70,3)="Res",IF(OR($DT70&gt;External_Threshold,$DJ70&gt;0),1*Uplift*AWE*(External),0),0)</f>
        <v>0</v>
      </c>
      <c r="GA70" s="200">
        <f t="shared" si="274"/>
        <v>0</v>
      </c>
      <c r="GB70" s="201">
        <f t="shared" si="755"/>
        <v>0</v>
      </c>
      <c r="GC70" s="203">
        <f t="shared" si="344"/>
        <v>0</v>
      </c>
      <c r="GD70" s="199">
        <f t="shared" ca="1" si="756"/>
        <v>0</v>
      </c>
      <c r="GE70" s="200">
        <f t="shared" si="277"/>
        <v>0</v>
      </c>
      <c r="GF70" s="201">
        <f t="shared" ca="1" si="757"/>
        <v>0</v>
      </c>
      <c r="GG70" s="200">
        <f t="shared" si="279"/>
        <v>0</v>
      </c>
      <c r="GH70" s="201" cm="1">
        <f t="array" ref="GH70">IF(LEFT($AG70,3)="Res",IF(OR($DU70&gt;External_Threshold,$DK70&gt;0),1*Uplift*AWE*(External),0),0)</f>
        <v>0</v>
      </c>
      <c r="GI70" s="200">
        <f t="shared" si="280"/>
        <v>0</v>
      </c>
      <c r="GJ70" s="201">
        <f t="shared" si="758"/>
        <v>0</v>
      </c>
      <c r="GK70" s="203">
        <f t="shared" si="345"/>
        <v>0</v>
      </c>
      <c r="GL70" s="199">
        <f t="shared" ca="1" si="759"/>
        <v>0</v>
      </c>
      <c r="GM70" s="200">
        <f t="shared" si="283"/>
        <v>0</v>
      </c>
      <c r="GN70" s="201">
        <f t="shared" ca="1" si="760"/>
        <v>0</v>
      </c>
      <c r="GO70" s="200">
        <f t="shared" si="285"/>
        <v>0</v>
      </c>
      <c r="GP70" s="201" cm="1">
        <f t="array" ref="GP70">IF(LEFT($AG70,3)="Res",IF(OR($DV70&gt;External_Threshold,$DL70&gt;0),1*Uplift*AWE*(External),0),0)</f>
        <v>0</v>
      </c>
      <c r="GQ70" s="200">
        <f t="shared" si="286"/>
        <v>0</v>
      </c>
      <c r="GR70" s="201">
        <f t="shared" si="761"/>
        <v>0</v>
      </c>
      <c r="GS70" s="203">
        <f t="shared" si="346"/>
        <v>0</v>
      </c>
      <c r="GT70" s="199">
        <f t="shared" ca="1" si="762"/>
        <v>0</v>
      </c>
      <c r="GU70" s="200">
        <f t="shared" si="289"/>
        <v>0</v>
      </c>
      <c r="GV70" s="201">
        <f t="shared" ca="1" si="763"/>
        <v>0</v>
      </c>
      <c r="GW70" s="200">
        <f t="shared" si="291"/>
        <v>0</v>
      </c>
      <c r="GX70" s="201" cm="1">
        <f t="array" ref="GX70">IF(LEFT($AG70,3)="Res",IF(OR($DW70&gt;External_Threshold,$DM70&gt;0),1*Uplift*AWE*(External),0),0)</f>
        <v>0</v>
      </c>
      <c r="GY70" s="200">
        <f t="shared" si="292"/>
        <v>0</v>
      </c>
      <c r="GZ70" s="201">
        <f t="shared" si="764"/>
        <v>0</v>
      </c>
      <c r="HA70" s="203">
        <f t="shared" si="347"/>
        <v>0</v>
      </c>
      <c r="HB70" s="54"/>
      <c r="HC70" s="54"/>
      <c r="HD70" s="54"/>
      <c r="HE70" s="54"/>
      <c r="HF70" s="54"/>
      <c r="HG70" s="201">
        <f t="shared" ca="1" si="348"/>
        <v>353967.53706779255</v>
      </c>
      <c r="HH70" s="201">
        <f t="shared" ca="1" si="349"/>
        <v>303183.11633572076</v>
      </c>
      <c r="HI70" s="201">
        <f t="shared" ca="1" si="350"/>
        <v>292330.33648372418</v>
      </c>
      <c r="HJ70" s="201">
        <f t="shared" ca="1" si="351"/>
        <v>283713.31732286001</v>
      </c>
      <c r="HK70" s="201">
        <f t="shared" ca="1" si="352"/>
        <v>249824.48726647208</v>
      </c>
      <c r="HL70" s="201">
        <f t="shared" ca="1" si="353"/>
        <v>210334.0836974851</v>
      </c>
      <c r="HM70" s="201">
        <f t="shared" ca="1" si="354"/>
        <v>2497.6314520019291</v>
      </c>
      <c r="HN70" s="201">
        <f t="shared" ca="1" si="355"/>
        <v>0</v>
      </c>
      <c r="HO70" s="201">
        <f t="shared" ca="1" si="356"/>
        <v>0</v>
      </c>
      <c r="HP70" s="201">
        <f t="shared" ca="1" si="357"/>
        <v>0</v>
      </c>
      <c r="HQ70" s="54"/>
    </row>
    <row r="71" spans="1:225" x14ac:dyDescent="0.3">
      <c r="A71" s="513">
        <v>53</v>
      </c>
      <c r="B71" s="514" t="s">
        <v>476</v>
      </c>
      <c r="C71" s="514" t="s">
        <v>390</v>
      </c>
      <c r="D71" s="514" t="s">
        <v>390</v>
      </c>
      <c r="E71" s="513">
        <v>1</v>
      </c>
      <c r="F71" s="515">
        <v>7.47</v>
      </c>
      <c r="G71" s="515">
        <v>7.14</v>
      </c>
      <c r="H71" s="513">
        <v>2</v>
      </c>
      <c r="I71" s="517">
        <v>1</v>
      </c>
      <c r="J71" s="518" t="s">
        <v>295</v>
      </c>
      <c r="K71" s="513">
        <f t="shared" si="724"/>
        <v>220</v>
      </c>
      <c r="L71" s="519">
        <v>7.74</v>
      </c>
      <c r="M71" s="519">
        <v>6.5299999999999994</v>
      </c>
      <c r="N71" s="519">
        <v>6.2299999999999995</v>
      </c>
      <c r="O71" s="519">
        <v>5.93</v>
      </c>
      <c r="P71" s="519">
        <v>5.47</v>
      </c>
      <c r="Q71" s="519">
        <v>5</v>
      </c>
      <c r="R71" s="519">
        <v>4.2</v>
      </c>
      <c r="S71" s="519">
        <v>0</v>
      </c>
      <c r="T71" s="519">
        <v>0</v>
      </c>
      <c r="U71" s="519">
        <v>0</v>
      </c>
      <c r="V71" s="536"/>
      <c r="W71" s="536"/>
      <c r="X71" s="536"/>
      <c r="Y71" s="536"/>
      <c r="Z71" s="536"/>
      <c r="AA71" s="536"/>
      <c r="AB71" s="536"/>
      <c r="AC71" s="536"/>
      <c r="AD71" s="536"/>
      <c r="AE71" s="536"/>
      <c r="AF71" s="54"/>
      <c r="AG71" s="204" t="str">
        <f t="shared" si="465"/>
        <v>Res1</v>
      </c>
      <c r="AH71" s="204">
        <f t="shared" si="294"/>
        <v>6</v>
      </c>
      <c r="AI71" s="204">
        <f t="shared" si="725"/>
        <v>1</v>
      </c>
      <c r="AJ71" s="54"/>
      <c r="AK71" s="74">
        <f>IFERROR(IF(H71&gt;4,0,AI71*Inputs!$C$55),0)</f>
        <v>2.6</v>
      </c>
      <c r="AL71" s="81">
        <f>IFERROR(Inputs!$C$73,0)</f>
        <v>5</v>
      </c>
      <c r="AM71" s="211">
        <f>IFERROR(Inputs!$C$74,0)</f>
        <v>0.24299999999999999</v>
      </c>
      <c r="AN71" s="446">
        <f>IFERROR(HLOOKUP(HLOOKUP(AN$17,$V$18:$AE71,COUNTA($AK$18:$AK71),FALSE),Inputs!$B$58:$H$59,2,FALSE),0)</f>
        <v>0</v>
      </c>
      <c r="AO71" s="447">
        <f t="shared" si="295"/>
        <v>0</v>
      </c>
      <c r="AP71" s="447">
        <f t="shared" si="296"/>
        <v>0</v>
      </c>
      <c r="AQ71" s="446">
        <f>IFERROR(HLOOKUP(HLOOKUP(AQ$17,$V$18:$AE71,COUNTA($AK$18:$AK71),FALSE),Inputs!$B$58:$H$59,2,FALSE),0)</f>
        <v>0</v>
      </c>
      <c r="AR71" s="447">
        <f t="shared" ref="AR71" si="936">2*$AK71*AQ71*$AL71/100*$AM71</f>
        <v>0</v>
      </c>
      <c r="AS71" s="447">
        <f t="shared" si="298"/>
        <v>0</v>
      </c>
      <c r="AT71" s="446">
        <f>IFERROR(HLOOKUP(HLOOKUP(AT$17,$V$18:$AE71,COUNTA($AK$18:$AK71),FALSE),Inputs!$B$58:$H$59,2,FALSE),0)</f>
        <v>0</v>
      </c>
      <c r="AU71" s="447">
        <f t="shared" ref="AU71" si="937">2*$AK71*AT71*$AL71/100*$AM71</f>
        <v>0</v>
      </c>
      <c r="AV71" s="447">
        <f t="shared" si="300"/>
        <v>0</v>
      </c>
      <c r="AW71" s="446">
        <f>IFERROR(HLOOKUP(HLOOKUP(AW$17,$V$18:$AE71,COUNTA($AK$18:$AK71),FALSE),Inputs!$B$58:$H$59,2,FALSE),0)</f>
        <v>0</v>
      </c>
      <c r="AX71" s="447">
        <f t="shared" ref="AX71" si="938">2*$AK71*AW71*$AL71/100*$AM71</f>
        <v>0</v>
      </c>
      <c r="AY71" s="447">
        <f t="shared" si="302"/>
        <v>0</v>
      </c>
      <c r="AZ71" s="446">
        <f>IFERROR(HLOOKUP(HLOOKUP(AZ$17,$V$18:$AE71,COUNTA($AK$18:$AK71),FALSE),Inputs!$B$58:$H$59,2,FALSE),0)</f>
        <v>0</v>
      </c>
      <c r="BA71" s="447">
        <f t="shared" ref="BA71" si="939">2*$AK71*AZ71*$AL71/100*$AM71</f>
        <v>0</v>
      </c>
      <c r="BB71" s="447">
        <f t="shared" si="304"/>
        <v>0</v>
      </c>
      <c r="BC71" s="446">
        <f>IFERROR(HLOOKUP(HLOOKUP(BC$17,$V$18:$AE71,COUNTA($AK$18:$AK71),FALSE),Inputs!$B$58:$H$59,2,FALSE),0)</f>
        <v>0</v>
      </c>
      <c r="BD71" s="447">
        <f t="shared" ref="BD71" si="940">2*$AK71*BC71*$AL71/100*$AM71</f>
        <v>0</v>
      </c>
      <c r="BE71" s="447">
        <f t="shared" si="306"/>
        <v>0</v>
      </c>
      <c r="BF71" s="446">
        <f>IFERROR(HLOOKUP(HLOOKUP(BF$17,$V$18:$AE71,COUNTA($AK$18:$AK71),FALSE),Inputs!$B$58:$H$59,2,FALSE),0)</f>
        <v>0</v>
      </c>
      <c r="BG71" s="447">
        <f t="shared" ref="BG71" si="941">2*$AK71*BF71*$AL71/100*$AM71</f>
        <v>0</v>
      </c>
      <c r="BH71" s="447">
        <f t="shared" si="308"/>
        <v>0</v>
      </c>
      <c r="BI71" s="446">
        <f>IFERROR(HLOOKUP(HLOOKUP(BI$17,$V$18:$AE71,COUNTA($AK$18:$AK71),FALSE),Inputs!$B$58:$H$59,2,FALSE),0)</f>
        <v>0</v>
      </c>
      <c r="BJ71" s="447">
        <f t="shared" ref="BJ71" si="942">2*$AK71*BI71*$AL71/100*$AM71</f>
        <v>0</v>
      </c>
      <c r="BK71" s="447">
        <f t="shared" si="310"/>
        <v>0</v>
      </c>
      <c r="BL71" s="446">
        <f>IFERROR(HLOOKUP(HLOOKUP(BL$17,$V$18:$AE71,COUNTA($AK$18:$AK71),FALSE),Inputs!$B$58:$H$59,2,FALSE),0)</f>
        <v>0</v>
      </c>
      <c r="BM71" s="447">
        <f t="shared" ref="BM71" si="943">2*$AK71*BL71*$AL71/100*$AM71</f>
        <v>0</v>
      </c>
      <c r="BN71" s="447">
        <f t="shared" si="312"/>
        <v>0</v>
      </c>
      <c r="BO71" s="446">
        <f>IFERROR(HLOOKUP(HLOOKUP(BO$17,$V$18:$AE71,COUNTA($AK$18:$AK71),FALSE),Inputs!$B$58:$H$59,2,FALSE),0)</f>
        <v>0</v>
      </c>
      <c r="BP71" s="447">
        <f t="shared" ref="BP71" si="944">2*$AK71*BO71*$AL71/100*$AM71</f>
        <v>0</v>
      </c>
      <c r="BQ71" s="447">
        <f t="shared" si="314"/>
        <v>0</v>
      </c>
      <c r="BR71" s="54"/>
      <c r="BS71" s="103">
        <f t="shared" ca="1" si="735"/>
        <v>106.01395373251329</v>
      </c>
      <c r="BT71" s="103">
        <f t="shared" ca="1" si="396"/>
        <v>58.605376177378581</v>
      </c>
      <c r="BU71" s="103">
        <f t="shared" si="397"/>
        <v>15.403780752532562</v>
      </c>
      <c r="BV71" s="103">
        <f t="shared" si="398"/>
        <v>0</v>
      </c>
      <c r="BW71" s="152">
        <f t="shared" ca="1" si="399"/>
        <v>180.02311066242441</v>
      </c>
      <c r="BX71" s="441"/>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188">
        <f t="shared" si="315"/>
        <v>0.27000000000000046</v>
      </c>
      <c r="DE71" s="188">
        <f t="shared" si="316"/>
        <v>-0.3</v>
      </c>
      <c r="DF71" s="188">
        <f t="shared" si="317"/>
        <v>-0.3</v>
      </c>
      <c r="DG71" s="188">
        <f t="shared" si="318"/>
        <v>-0.3</v>
      </c>
      <c r="DH71" s="188">
        <f t="shared" si="319"/>
        <v>-0.3</v>
      </c>
      <c r="DI71" s="188">
        <f t="shared" si="320"/>
        <v>-0.3</v>
      </c>
      <c r="DJ71" s="188">
        <f t="shared" si="321"/>
        <v>-0.3</v>
      </c>
      <c r="DK71" s="188">
        <f t="shared" si="322"/>
        <v>-0.3</v>
      </c>
      <c r="DL71" s="188">
        <f t="shared" si="323"/>
        <v>-0.3</v>
      </c>
      <c r="DM71" s="188">
        <f t="shared" si="324"/>
        <v>-0.3</v>
      </c>
      <c r="DN71" s="189">
        <f t="shared" si="325"/>
        <v>0.60000000000000053</v>
      </c>
      <c r="DO71" s="189">
        <f t="shared" si="326"/>
        <v>0</v>
      </c>
      <c r="DP71" s="189">
        <f t="shared" si="327"/>
        <v>0</v>
      </c>
      <c r="DQ71" s="189">
        <f t="shared" si="328"/>
        <v>0</v>
      </c>
      <c r="DR71" s="189">
        <f t="shared" si="329"/>
        <v>0</v>
      </c>
      <c r="DS71" s="189">
        <f t="shared" si="330"/>
        <v>0</v>
      </c>
      <c r="DT71" s="189">
        <f t="shared" si="331"/>
        <v>0</v>
      </c>
      <c r="DU71" s="189">
        <f t="shared" si="332"/>
        <v>0</v>
      </c>
      <c r="DV71" s="189">
        <f t="shared" si="333"/>
        <v>0</v>
      </c>
      <c r="DW71" s="189">
        <f t="shared" si="334"/>
        <v>0</v>
      </c>
      <c r="DX71" s="54"/>
      <c r="DY71" s="54"/>
      <c r="DZ71" s="199">
        <f t="shared" ca="1" si="736"/>
        <v>106546.68716835506</v>
      </c>
      <c r="EA71" s="200">
        <f t="shared" si="335"/>
        <v>1</v>
      </c>
      <c r="EB71" s="201">
        <f t="shared" ca="1" si="737"/>
        <v>58899.875555154351</v>
      </c>
      <c r="EC71" s="200">
        <f t="shared" si="336"/>
        <v>1</v>
      </c>
      <c r="ED71" s="201" cm="1">
        <f t="array" ref="ED71">IF(LEFT($AG71,3)="Res",IF(OR($DN71&gt;External_Threshold,$DD71&gt;0),1*Uplift*AWE*(External),0),0)</f>
        <v>15481.186685962373</v>
      </c>
      <c r="EE71" s="200">
        <f t="shared" si="337"/>
        <v>1</v>
      </c>
      <c r="EF71" s="201">
        <f t="shared" si="738"/>
        <v>0</v>
      </c>
      <c r="EG71" s="203">
        <f t="shared" si="338"/>
        <v>0</v>
      </c>
      <c r="EH71" s="199">
        <f t="shared" ca="1" si="739"/>
        <v>0</v>
      </c>
      <c r="EI71" s="200">
        <f t="shared" si="241"/>
        <v>0</v>
      </c>
      <c r="EJ71" s="201">
        <f t="shared" ca="1" si="740"/>
        <v>0</v>
      </c>
      <c r="EK71" s="200">
        <f t="shared" si="243"/>
        <v>0</v>
      </c>
      <c r="EL71" s="201" cm="1">
        <f t="array" ref="EL71">IF(LEFT($AG71,3)="Res",IF(OR($DO71&gt;External_Threshold,$DE71&gt;0),1*Uplift*AWE*(External),0),0)</f>
        <v>0</v>
      </c>
      <c r="EM71" s="200">
        <f t="shared" si="244"/>
        <v>0</v>
      </c>
      <c r="EN71" s="201">
        <f t="shared" si="741"/>
        <v>0</v>
      </c>
      <c r="EO71" s="203">
        <f t="shared" si="339"/>
        <v>0</v>
      </c>
      <c r="EP71" s="199">
        <f t="shared" ca="1" si="742"/>
        <v>0</v>
      </c>
      <c r="EQ71" s="200">
        <f t="shared" si="247"/>
        <v>0</v>
      </c>
      <c r="ER71" s="201">
        <f t="shared" ca="1" si="743"/>
        <v>0</v>
      </c>
      <c r="ES71" s="200">
        <f t="shared" si="249"/>
        <v>0</v>
      </c>
      <c r="ET71" s="201" cm="1">
        <f t="array" ref="ET71">IF(LEFT($AG71,3)="Res",IF(OR($DP71&gt;External_Threshold,$DF71&gt;0),1*Uplift*AWE*(External),0),0)</f>
        <v>0</v>
      </c>
      <c r="EU71" s="200">
        <f t="shared" si="250"/>
        <v>0</v>
      </c>
      <c r="EV71" s="201">
        <f t="shared" si="744"/>
        <v>0</v>
      </c>
      <c r="EW71" s="203">
        <f t="shared" si="340"/>
        <v>0</v>
      </c>
      <c r="EX71" s="199">
        <f t="shared" ca="1" si="745"/>
        <v>0</v>
      </c>
      <c r="EY71" s="200">
        <f t="shared" si="253"/>
        <v>0</v>
      </c>
      <c r="EZ71" s="201">
        <f t="shared" ca="1" si="746"/>
        <v>0</v>
      </c>
      <c r="FA71" s="200">
        <f t="shared" si="255"/>
        <v>0</v>
      </c>
      <c r="FB71" s="201" cm="1">
        <f t="array" ref="FB71">IF(LEFT($AG71,3)="Res",IF(OR($DQ71&gt;External_Threshold,$DG71&gt;0),1*Uplift*AWE*(External),0),0)</f>
        <v>0</v>
      </c>
      <c r="FC71" s="200">
        <f t="shared" si="256"/>
        <v>0</v>
      </c>
      <c r="FD71" s="201">
        <f t="shared" si="257"/>
        <v>0</v>
      </c>
      <c r="FE71" s="203">
        <f t="shared" si="341"/>
        <v>0</v>
      </c>
      <c r="FF71" s="199">
        <f t="shared" ca="1" si="747"/>
        <v>0</v>
      </c>
      <c r="FG71" s="200">
        <f t="shared" si="259"/>
        <v>0</v>
      </c>
      <c r="FH71" s="201">
        <f t="shared" ca="1" si="748"/>
        <v>0</v>
      </c>
      <c r="FI71" s="200">
        <f t="shared" si="261"/>
        <v>0</v>
      </c>
      <c r="FJ71" s="201" cm="1">
        <f t="array" ref="FJ71">IF(LEFT($AG71,3)="Res",IF(OR($DR71&gt;External_Threshold,$DH71&gt;0),1*Uplift*AWE*(External),0),0)</f>
        <v>0</v>
      </c>
      <c r="FK71" s="200">
        <f t="shared" si="262"/>
        <v>0</v>
      </c>
      <c r="FL71" s="201">
        <f t="shared" si="749"/>
        <v>0</v>
      </c>
      <c r="FM71" s="203">
        <f t="shared" si="342"/>
        <v>0</v>
      </c>
      <c r="FN71" s="199">
        <f t="shared" ca="1" si="750"/>
        <v>0</v>
      </c>
      <c r="FO71" s="200">
        <f t="shared" si="265"/>
        <v>0</v>
      </c>
      <c r="FP71" s="201">
        <f t="shared" ca="1" si="751"/>
        <v>0</v>
      </c>
      <c r="FQ71" s="200">
        <f t="shared" si="267"/>
        <v>0</v>
      </c>
      <c r="FR71" s="201" cm="1">
        <f t="array" ref="FR71">IF(LEFT($AG71,3)="Res",IF(OR($DS71&gt;External_Threshold,$DI71&gt;0),1*Uplift*AWE*(External),0),0)</f>
        <v>0</v>
      </c>
      <c r="FS71" s="200">
        <f t="shared" si="268"/>
        <v>0</v>
      </c>
      <c r="FT71" s="201">
        <f t="shared" si="752"/>
        <v>0</v>
      </c>
      <c r="FU71" s="203">
        <f t="shared" si="343"/>
        <v>0</v>
      </c>
      <c r="FV71" s="199">
        <f t="shared" ca="1" si="753"/>
        <v>0</v>
      </c>
      <c r="FW71" s="200">
        <f t="shared" si="271"/>
        <v>0</v>
      </c>
      <c r="FX71" s="201">
        <f t="shared" ca="1" si="754"/>
        <v>0</v>
      </c>
      <c r="FY71" s="200">
        <f t="shared" si="273"/>
        <v>0</v>
      </c>
      <c r="FZ71" s="201" cm="1">
        <f t="array" ref="FZ71">IF(LEFT($AG71,3)="Res",IF(OR($DT71&gt;External_Threshold,$DJ71&gt;0),1*Uplift*AWE*(External),0),0)</f>
        <v>0</v>
      </c>
      <c r="GA71" s="200">
        <f t="shared" si="274"/>
        <v>0</v>
      </c>
      <c r="GB71" s="201">
        <f t="shared" si="755"/>
        <v>0</v>
      </c>
      <c r="GC71" s="203">
        <f t="shared" si="344"/>
        <v>0</v>
      </c>
      <c r="GD71" s="199">
        <f t="shared" ca="1" si="756"/>
        <v>0</v>
      </c>
      <c r="GE71" s="200">
        <f t="shared" si="277"/>
        <v>0</v>
      </c>
      <c r="GF71" s="201">
        <f t="shared" ca="1" si="757"/>
        <v>0</v>
      </c>
      <c r="GG71" s="200">
        <f t="shared" si="279"/>
        <v>0</v>
      </c>
      <c r="GH71" s="201" cm="1">
        <f t="array" ref="GH71">IF(LEFT($AG71,3)="Res",IF(OR($DU71&gt;External_Threshold,$DK71&gt;0),1*Uplift*AWE*(External),0),0)</f>
        <v>0</v>
      </c>
      <c r="GI71" s="200">
        <f t="shared" si="280"/>
        <v>0</v>
      </c>
      <c r="GJ71" s="201">
        <f t="shared" si="758"/>
        <v>0</v>
      </c>
      <c r="GK71" s="203">
        <f t="shared" si="345"/>
        <v>0</v>
      </c>
      <c r="GL71" s="199">
        <f t="shared" ca="1" si="759"/>
        <v>0</v>
      </c>
      <c r="GM71" s="200">
        <f t="shared" si="283"/>
        <v>0</v>
      </c>
      <c r="GN71" s="201">
        <f t="shared" ca="1" si="760"/>
        <v>0</v>
      </c>
      <c r="GO71" s="200">
        <f t="shared" si="285"/>
        <v>0</v>
      </c>
      <c r="GP71" s="201" cm="1">
        <f t="array" ref="GP71">IF(LEFT($AG71,3)="Res",IF(OR($DV71&gt;External_Threshold,$DL71&gt;0),1*Uplift*AWE*(External),0),0)</f>
        <v>0</v>
      </c>
      <c r="GQ71" s="200">
        <f t="shared" si="286"/>
        <v>0</v>
      </c>
      <c r="GR71" s="201">
        <f t="shared" si="761"/>
        <v>0</v>
      </c>
      <c r="GS71" s="203">
        <f t="shared" si="346"/>
        <v>0</v>
      </c>
      <c r="GT71" s="199">
        <f t="shared" ca="1" si="762"/>
        <v>0</v>
      </c>
      <c r="GU71" s="200">
        <f t="shared" si="289"/>
        <v>0</v>
      </c>
      <c r="GV71" s="201">
        <f t="shared" ca="1" si="763"/>
        <v>0</v>
      </c>
      <c r="GW71" s="200">
        <f t="shared" si="291"/>
        <v>0</v>
      </c>
      <c r="GX71" s="201" cm="1">
        <f t="array" ref="GX71">IF(LEFT($AG71,3)="Res",IF(OR($DW71&gt;External_Threshold,$DM71&gt;0),1*Uplift*AWE*(External),0),0)</f>
        <v>0</v>
      </c>
      <c r="GY71" s="200">
        <f t="shared" si="292"/>
        <v>0</v>
      </c>
      <c r="GZ71" s="201">
        <f t="shared" si="764"/>
        <v>0</v>
      </c>
      <c r="HA71" s="203">
        <f t="shared" si="347"/>
        <v>0</v>
      </c>
      <c r="HB71" s="54"/>
      <c r="HC71" s="54"/>
      <c r="HD71" s="54"/>
      <c r="HE71" s="54"/>
      <c r="HF71" s="54"/>
      <c r="HG71" s="201">
        <f t="shared" ca="1" si="348"/>
        <v>180927.74940947178</v>
      </c>
      <c r="HH71" s="201">
        <f t="shared" ca="1" si="349"/>
        <v>0</v>
      </c>
      <c r="HI71" s="201">
        <f t="shared" ca="1" si="350"/>
        <v>0</v>
      </c>
      <c r="HJ71" s="201">
        <f t="shared" ca="1" si="351"/>
        <v>0</v>
      </c>
      <c r="HK71" s="201">
        <f t="shared" ca="1" si="352"/>
        <v>0</v>
      </c>
      <c r="HL71" s="201">
        <f t="shared" ca="1" si="353"/>
        <v>0</v>
      </c>
      <c r="HM71" s="201">
        <f t="shared" ca="1" si="354"/>
        <v>0</v>
      </c>
      <c r="HN71" s="201">
        <f t="shared" ca="1" si="355"/>
        <v>0</v>
      </c>
      <c r="HO71" s="201">
        <f t="shared" ca="1" si="356"/>
        <v>0</v>
      </c>
      <c r="HP71" s="201">
        <f t="shared" ca="1" si="357"/>
        <v>0</v>
      </c>
      <c r="HQ71" s="54"/>
    </row>
    <row r="72" spans="1:225" x14ac:dyDescent="0.3">
      <c r="A72" s="513">
        <v>54</v>
      </c>
      <c r="B72" s="514" t="s">
        <v>477</v>
      </c>
      <c r="C72" s="514" t="s">
        <v>390</v>
      </c>
      <c r="D72" s="514" t="s">
        <v>390</v>
      </c>
      <c r="E72" s="513">
        <v>1</v>
      </c>
      <c r="F72" s="515">
        <v>7.08</v>
      </c>
      <c r="G72" s="515">
        <v>6.78</v>
      </c>
      <c r="H72" s="513">
        <v>2</v>
      </c>
      <c r="I72" s="517">
        <v>1</v>
      </c>
      <c r="J72" s="518" t="s">
        <v>137</v>
      </c>
      <c r="K72" s="513">
        <f t="shared" si="724"/>
        <v>160</v>
      </c>
      <c r="L72" s="519">
        <v>7.74</v>
      </c>
      <c r="M72" s="519">
        <v>6.5299999999999994</v>
      </c>
      <c r="N72" s="519">
        <v>6.2299999999999995</v>
      </c>
      <c r="O72" s="519">
        <v>5.93</v>
      </c>
      <c r="P72" s="519">
        <v>5.47</v>
      </c>
      <c r="Q72" s="519">
        <v>5</v>
      </c>
      <c r="R72" s="519">
        <v>4.2</v>
      </c>
      <c r="S72" s="519">
        <v>0</v>
      </c>
      <c r="T72" s="519">
        <v>0</v>
      </c>
      <c r="U72" s="519">
        <v>0</v>
      </c>
      <c r="V72" s="536"/>
      <c r="W72" s="536"/>
      <c r="X72" s="536"/>
      <c r="Y72" s="536"/>
      <c r="Z72" s="536"/>
      <c r="AA72" s="536"/>
      <c r="AB72" s="536"/>
      <c r="AC72" s="536"/>
      <c r="AD72" s="536"/>
      <c r="AE72" s="536"/>
      <c r="AF72" s="54"/>
      <c r="AG72" s="204" t="str">
        <f t="shared" si="465"/>
        <v>Res1</v>
      </c>
      <c r="AH72" s="204">
        <f t="shared" si="294"/>
        <v>7</v>
      </c>
      <c r="AI72" s="204">
        <f t="shared" si="725"/>
        <v>1</v>
      </c>
      <c r="AJ72" s="54"/>
      <c r="AK72" s="74">
        <f>IFERROR(IF(H72&gt;4,0,AI72*Inputs!$C$55),0)</f>
        <v>2.6</v>
      </c>
      <c r="AL72" s="81">
        <f>IFERROR(Inputs!$C$73,0)</f>
        <v>5</v>
      </c>
      <c r="AM72" s="211">
        <f>IFERROR(Inputs!$C$74,0)</f>
        <v>0.24299999999999999</v>
      </c>
      <c r="AN72" s="446">
        <f>IFERROR(HLOOKUP(HLOOKUP(AN$17,$V$18:$AE72,COUNTA($AK$18:$AK72),FALSE),Inputs!$B$58:$H$59,2,FALSE),0)</f>
        <v>0</v>
      </c>
      <c r="AO72" s="447">
        <f t="shared" si="295"/>
        <v>0</v>
      </c>
      <c r="AP72" s="447">
        <f t="shared" si="296"/>
        <v>0</v>
      </c>
      <c r="AQ72" s="446">
        <f>IFERROR(HLOOKUP(HLOOKUP(AQ$17,$V$18:$AE72,COUNTA($AK$18:$AK72),FALSE),Inputs!$B$58:$H$59,2,FALSE),0)</f>
        <v>0</v>
      </c>
      <c r="AR72" s="447">
        <f t="shared" ref="AR72" si="945">2*$AK72*AQ72*$AL72/100*$AM72</f>
        <v>0</v>
      </c>
      <c r="AS72" s="447">
        <f t="shared" si="298"/>
        <v>0</v>
      </c>
      <c r="AT72" s="446">
        <f>IFERROR(HLOOKUP(HLOOKUP(AT$17,$V$18:$AE72,COUNTA($AK$18:$AK72),FALSE),Inputs!$B$58:$H$59,2,FALSE),0)</f>
        <v>0</v>
      </c>
      <c r="AU72" s="447">
        <f t="shared" ref="AU72" si="946">2*$AK72*AT72*$AL72/100*$AM72</f>
        <v>0</v>
      </c>
      <c r="AV72" s="447">
        <f t="shared" si="300"/>
        <v>0</v>
      </c>
      <c r="AW72" s="446">
        <f>IFERROR(HLOOKUP(HLOOKUP(AW$17,$V$18:$AE72,COUNTA($AK$18:$AK72),FALSE),Inputs!$B$58:$H$59,2,FALSE),0)</f>
        <v>0</v>
      </c>
      <c r="AX72" s="447">
        <f t="shared" ref="AX72" si="947">2*$AK72*AW72*$AL72/100*$AM72</f>
        <v>0</v>
      </c>
      <c r="AY72" s="447">
        <f t="shared" si="302"/>
        <v>0</v>
      </c>
      <c r="AZ72" s="446">
        <f>IFERROR(HLOOKUP(HLOOKUP(AZ$17,$V$18:$AE72,COUNTA($AK$18:$AK72),FALSE),Inputs!$B$58:$H$59,2,FALSE),0)</f>
        <v>0</v>
      </c>
      <c r="BA72" s="447">
        <f t="shared" ref="BA72" si="948">2*$AK72*AZ72*$AL72/100*$AM72</f>
        <v>0</v>
      </c>
      <c r="BB72" s="447">
        <f t="shared" si="304"/>
        <v>0</v>
      </c>
      <c r="BC72" s="446">
        <f>IFERROR(HLOOKUP(HLOOKUP(BC$17,$V$18:$AE72,COUNTA($AK$18:$AK72),FALSE),Inputs!$B$58:$H$59,2,FALSE),0)</f>
        <v>0</v>
      </c>
      <c r="BD72" s="447">
        <f t="shared" ref="BD72" si="949">2*$AK72*BC72*$AL72/100*$AM72</f>
        <v>0</v>
      </c>
      <c r="BE72" s="447">
        <f t="shared" si="306"/>
        <v>0</v>
      </c>
      <c r="BF72" s="446">
        <f>IFERROR(HLOOKUP(HLOOKUP(BF$17,$V$18:$AE72,COUNTA($AK$18:$AK72),FALSE),Inputs!$B$58:$H$59,2,FALSE),0)</f>
        <v>0</v>
      </c>
      <c r="BG72" s="447">
        <f t="shared" ref="BG72" si="950">2*$AK72*BF72*$AL72/100*$AM72</f>
        <v>0</v>
      </c>
      <c r="BH72" s="447">
        <f t="shared" si="308"/>
        <v>0</v>
      </c>
      <c r="BI72" s="446">
        <f>IFERROR(HLOOKUP(HLOOKUP(BI$17,$V$18:$AE72,COUNTA($AK$18:$AK72),FALSE),Inputs!$B$58:$H$59,2,FALSE),0)</f>
        <v>0</v>
      </c>
      <c r="BJ72" s="447">
        <f t="shared" ref="BJ72" si="951">2*$AK72*BI72*$AL72/100*$AM72</f>
        <v>0</v>
      </c>
      <c r="BK72" s="447">
        <f t="shared" si="310"/>
        <v>0</v>
      </c>
      <c r="BL72" s="446">
        <f>IFERROR(HLOOKUP(HLOOKUP(BL$17,$V$18:$AE72,COUNTA($AK$18:$AK72),FALSE),Inputs!$B$58:$H$59,2,FALSE),0)</f>
        <v>0</v>
      </c>
      <c r="BM72" s="447">
        <f t="shared" ref="BM72" si="952">2*$AK72*BL72*$AL72/100*$AM72</f>
        <v>0</v>
      </c>
      <c r="BN72" s="447">
        <f t="shared" si="312"/>
        <v>0</v>
      </c>
      <c r="BO72" s="446">
        <f>IFERROR(HLOOKUP(HLOOKUP(BO$17,$V$18:$AE72,COUNTA($AK$18:$AK72),FALSE),Inputs!$B$58:$H$59,2,FALSE),0)</f>
        <v>0</v>
      </c>
      <c r="BP72" s="447">
        <f t="shared" ref="BP72" si="953">2*$AK72*BO72*$AL72/100*$AM72</f>
        <v>0</v>
      </c>
      <c r="BQ72" s="447">
        <f t="shared" si="314"/>
        <v>0</v>
      </c>
      <c r="BR72" s="54"/>
      <c r="BS72" s="103">
        <f t="shared" ca="1" si="735"/>
        <v>102.20151799626149</v>
      </c>
      <c r="BT72" s="103">
        <f t="shared" ca="1" si="396"/>
        <v>79.987583679812261</v>
      </c>
      <c r="BU72" s="103">
        <f t="shared" si="397"/>
        <v>15.403780752532562</v>
      </c>
      <c r="BV72" s="103">
        <f t="shared" si="398"/>
        <v>0</v>
      </c>
      <c r="BW72" s="152">
        <f t="shared" ca="1" si="399"/>
        <v>197.59288242860629</v>
      </c>
      <c r="BX72" s="441"/>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188">
        <f t="shared" si="315"/>
        <v>0.66000000000000014</v>
      </c>
      <c r="DE72" s="188">
        <f t="shared" si="316"/>
        <v>-0.3</v>
      </c>
      <c r="DF72" s="188">
        <f t="shared" si="317"/>
        <v>-0.3</v>
      </c>
      <c r="DG72" s="188">
        <f t="shared" si="318"/>
        <v>-0.3</v>
      </c>
      <c r="DH72" s="188">
        <f t="shared" si="319"/>
        <v>-0.3</v>
      </c>
      <c r="DI72" s="188">
        <f t="shared" si="320"/>
        <v>-0.3</v>
      </c>
      <c r="DJ72" s="188">
        <f t="shared" si="321"/>
        <v>-0.3</v>
      </c>
      <c r="DK72" s="188">
        <f t="shared" si="322"/>
        <v>-0.3</v>
      </c>
      <c r="DL72" s="188">
        <f t="shared" si="323"/>
        <v>-0.3</v>
      </c>
      <c r="DM72" s="188">
        <f t="shared" si="324"/>
        <v>-0.3</v>
      </c>
      <c r="DN72" s="189">
        <f t="shared" si="325"/>
        <v>0.96</v>
      </c>
      <c r="DO72" s="189">
        <f t="shared" si="326"/>
        <v>0</v>
      </c>
      <c r="DP72" s="189">
        <f t="shared" si="327"/>
        <v>0</v>
      </c>
      <c r="DQ72" s="189">
        <f t="shared" si="328"/>
        <v>0</v>
      </c>
      <c r="DR72" s="189">
        <f t="shared" si="329"/>
        <v>0</v>
      </c>
      <c r="DS72" s="189">
        <f t="shared" si="330"/>
        <v>0</v>
      </c>
      <c r="DT72" s="189">
        <f t="shared" si="331"/>
        <v>0</v>
      </c>
      <c r="DU72" s="189">
        <f t="shared" si="332"/>
        <v>0</v>
      </c>
      <c r="DV72" s="189">
        <f t="shared" si="333"/>
        <v>0</v>
      </c>
      <c r="DW72" s="189">
        <f t="shared" si="334"/>
        <v>0</v>
      </c>
      <c r="DX72" s="54"/>
      <c r="DY72" s="54"/>
      <c r="DZ72" s="199">
        <f t="shared" ca="1" si="736"/>
        <v>102715.09346357938</v>
      </c>
      <c r="EA72" s="200">
        <f t="shared" si="335"/>
        <v>1</v>
      </c>
      <c r="EB72" s="201">
        <f t="shared" ca="1" si="737"/>
        <v>80389.531336494736</v>
      </c>
      <c r="EC72" s="200">
        <f t="shared" si="336"/>
        <v>1</v>
      </c>
      <c r="ED72" s="201" cm="1">
        <f t="array" ref="ED72">IF(LEFT($AG72,3)="Res",IF(OR($DN72&gt;External_Threshold,$DD72&gt;0),1*Uplift*AWE*(External),0),0)</f>
        <v>15481.186685962373</v>
      </c>
      <c r="EE72" s="200">
        <f t="shared" si="337"/>
        <v>1</v>
      </c>
      <c r="EF72" s="201">
        <f t="shared" si="738"/>
        <v>0</v>
      </c>
      <c r="EG72" s="203">
        <f t="shared" si="338"/>
        <v>0</v>
      </c>
      <c r="EH72" s="199">
        <f t="shared" ca="1" si="739"/>
        <v>0</v>
      </c>
      <c r="EI72" s="200">
        <f t="shared" si="241"/>
        <v>0</v>
      </c>
      <c r="EJ72" s="201">
        <f t="shared" ca="1" si="740"/>
        <v>0</v>
      </c>
      <c r="EK72" s="200">
        <f t="shared" si="243"/>
        <v>0</v>
      </c>
      <c r="EL72" s="201" cm="1">
        <f t="array" ref="EL72">IF(LEFT($AG72,3)="Res",IF(OR($DO72&gt;External_Threshold,$DE72&gt;0),1*Uplift*AWE*(External),0),0)</f>
        <v>0</v>
      </c>
      <c r="EM72" s="200">
        <f t="shared" si="244"/>
        <v>0</v>
      </c>
      <c r="EN72" s="201">
        <f t="shared" si="741"/>
        <v>0</v>
      </c>
      <c r="EO72" s="203">
        <f t="shared" si="339"/>
        <v>0</v>
      </c>
      <c r="EP72" s="199">
        <f t="shared" ca="1" si="742"/>
        <v>0</v>
      </c>
      <c r="EQ72" s="200">
        <f t="shared" si="247"/>
        <v>0</v>
      </c>
      <c r="ER72" s="201">
        <f t="shared" ca="1" si="743"/>
        <v>0</v>
      </c>
      <c r="ES72" s="200">
        <f t="shared" si="249"/>
        <v>0</v>
      </c>
      <c r="ET72" s="201" cm="1">
        <f t="array" ref="ET72">IF(LEFT($AG72,3)="Res",IF(OR($DP72&gt;External_Threshold,$DF72&gt;0),1*Uplift*AWE*(External),0),0)</f>
        <v>0</v>
      </c>
      <c r="EU72" s="200">
        <f t="shared" si="250"/>
        <v>0</v>
      </c>
      <c r="EV72" s="201">
        <f t="shared" si="744"/>
        <v>0</v>
      </c>
      <c r="EW72" s="203">
        <f t="shared" si="340"/>
        <v>0</v>
      </c>
      <c r="EX72" s="199">
        <f t="shared" ca="1" si="745"/>
        <v>0</v>
      </c>
      <c r="EY72" s="200">
        <f t="shared" si="253"/>
        <v>0</v>
      </c>
      <c r="EZ72" s="201">
        <f t="shared" ca="1" si="746"/>
        <v>0</v>
      </c>
      <c r="FA72" s="200">
        <f t="shared" si="255"/>
        <v>0</v>
      </c>
      <c r="FB72" s="201" cm="1">
        <f t="array" ref="FB72">IF(LEFT($AG72,3)="Res",IF(OR($DQ72&gt;External_Threshold,$DG72&gt;0),1*Uplift*AWE*(External),0),0)</f>
        <v>0</v>
      </c>
      <c r="FC72" s="200">
        <f t="shared" si="256"/>
        <v>0</v>
      </c>
      <c r="FD72" s="201">
        <f t="shared" si="257"/>
        <v>0</v>
      </c>
      <c r="FE72" s="203">
        <f t="shared" si="341"/>
        <v>0</v>
      </c>
      <c r="FF72" s="199">
        <f t="shared" ca="1" si="747"/>
        <v>0</v>
      </c>
      <c r="FG72" s="200">
        <f t="shared" si="259"/>
        <v>0</v>
      </c>
      <c r="FH72" s="201">
        <f t="shared" ca="1" si="748"/>
        <v>0</v>
      </c>
      <c r="FI72" s="200">
        <f t="shared" si="261"/>
        <v>0</v>
      </c>
      <c r="FJ72" s="201" cm="1">
        <f t="array" ref="FJ72">IF(LEFT($AG72,3)="Res",IF(OR($DR72&gt;External_Threshold,$DH72&gt;0),1*Uplift*AWE*(External),0),0)</f>
        <v>0</v>
      </c>
      <c r="FK72" s="200">
        <f t="shared" si="262"/>
        <v>0</v>
      </c>
      <c r="FL72" s="201">
        <f t="shared" si="749"/>
        <v>0</v>
      </c>
      <c r="FM72" s="203">
        <f t="shared" si="342"/>
        <v>0</v>
      </c>
      <c r="FN72" s="199">
        <f t="shared" ca="1" si="750"/>
        <v>0</v>
      </c>
      <c r="FO72" s="200">
        <f t="shared" si="265"/>
        <v>0</v>
      </c>
      <c r="FP72" s="201">
        <f t="shared" ca="1" si="751"/>
        <v>0</v>
      </c>
      <c r="FQ72" s="200">
        <f t="shared" si="267"/>
        <v>0</v>
      </c>
      <c r="FR72" s="201" cm="1">
        <f t="array" ref="FR72">IF(LEFT($AG72,3)="Res",IF(OR($DS72&gt;External_Threshold,$DI72&gt;0),1*Uplift*AWE*(External),0),0)</f>
        <v>0</v>
      </c>
      <c r="FS72" s="200">
        <f t="shared" si="268"/>
        <v>0</v>
      </c>
      <c r="FT72" s="201">
        <f t="shared" si="752"/>
        <v>0</v>
      </c>
      <c r="FU72" s="203">
        <f t="shared" si="343"/>
        <v>0</v>
      </c>
      <c r="FV72" s="199">
        <f t="shared" ca="1" si="753"/>
        <v>0</v>
      </c>
      <c r="FW72" s="200">
        <f t="shared" si="271"/>
        <v>0</v>
      </c>
      <c r="FX72" s="201">
        <f t="shared" ca="1" si="754"/>
        <v>0</v>
      </c>
      <c r="FY72" s="200">
        <f t="shared" si="273"/>
        <v>0</v>
      </c>
      <c r="FZ72" s="201" cm="1">
        <f t="array" ref="FZ72">IF(LEFT($AG72,3)="Res",IF(OR($DT72&gt;External_Threshold,$DJ72&gt;0),1*Uplift*AWE*(External),0),0)</f>
        <v>0</v>
      </c>
      <c r="GA72" s="200">
        <f t="shared" si="274"/>
        <v>0</v>
      </c>
      <c r="GB72" s="201">
        <f t="shared" si="755"/>
        <v>0</v>
      </c>
      <c r="GC72" s="203">
        <f t="shared" si="344"/>
        <v>0</v>
      </c>
      <c r="GD72" s="199">
        <f t="shared" ca="1" si="756"/>
        <v>0</v>
      </c>
      <c r="GE72" s="200">
        <f t="shared" si="277"/>
        <v>0</v>
      </c>
      <c r="GF72" s="201">
        <f t="shared" ca="1" si="757"/>
        <v>0</v>
      </c>
      <c r="GG72" s="200">
        <f t="shared" si="279"/>
        <v>0</v>
      </c>
      <c r="GH72" s="201" cm="1">
        <f t="array" ref="GH72">IF(LEFT($AG72,3)="Res",IF(OR($DU72&gt;External_Threshold,$DK72&gt;0),1*Uplift*AWE*(External),0),0)</f>
        <v>0</v>
      </c>
      <c r="GI72" s="200">
        <f t="shared" si="280"/>
        <v>0</v>
      </c>
      <c r="GJ72" s="201">
        <f t="shared" si="758"/>
        <v>0</v>
      </c>
      <c r="GK72" s="203">
        <f t="shared" si="345"/>
        <v>0</v>
      </c>
      <c r="GL72" s="199">
        <f t="shared" ca="1" si="759"/>
        <v>0</v>
      </c>
      <c r="GM72" s="200">
        <f t="shared" si="283"/>
        <v>0</v>
      </c>
      <c r="GN72" s="201">
        <f t="shared" ca="1" si="760"/>
        <v>0</v>
      </c>
      <c r="GO72" s="200">
        <f t="shared" si="285"/>
        <v>0</v>
      </c>
      <c r="GP72" s="201" cm="1">
        <f t="array" ref="GP72">IF(LEFT($AG72,3)="Res",IF(OR($DV72&gt;External_Threshold,$DL72&gt;0),1*Uplift*AWE*(External),0),0)</f>
        <v>0</v>
      </c>
      <c r="GQ72" s="200">
        <f t="shared" si="286"/>
        <v>0</v>
      </c>
      <c r="GR72" s="201">
        <f t="shared" si="761"/>
        <v>0</v>
      </c>
      <c r="GS72" s="203">
        <f t="shared" si="346"/>
        <v>0</v>
      </c>
      <c r="GT72" s="199">
        <f t="shared" ca="1" si="762"/>
        <v>0</v>
      </c>
      <c r="GU72" s="200">
        <f t="shared" si="289"/>
        <v>0</v>
      </c>
      <c r="GV72" s="201">
        <f t="shared" ca="1" si="763"/>
        <v>0</v>
      </c>
      <c r="GW72" s="200">
        <f t="shared" si="291"/>
        <v>0</v>
      </c>
      <c r="GX72" s="201" cm="1">
        <f t="array" ref="GX72">IF(LEFT($AG72,3)="Res",IF(OR($DW72&gt;External_Threshold,$DM72&gt;0),1*Uplift*AWE*(External),0),0)</f>
        <v>0</v>
      </c>
      <c r="GY72" s="200">
        <f t="shared" si="292"/>
        <v>0</v>
      </c>
      <c r="GZ72" s="201">
        <f t="shared" si="764"/>
        <v>0</v>
      </c>
      <c r="HA72" s="203">
        <f t="shared" si="347"/>
        <v>0</v>
      </c>
      <c r="HB72" s="54"/>
      <c r="HC72" s="54"/>
      <c r="HD72" s="54"/>
      <c r="HE72" s="54"/>
      <c r="HF72" s="54"/>
      <c r="HG72" s="201">
        <f t="shared" ca="1" si="348"/>
        <v>198585.81148603649</v>
      </c>
      <c r="HH72" s="201">
        <f t="shared" ca="1" si="349"/>
        <v>0</v>
      </c>
      <c r="HI72" s="201">
        <f t="shared" ca="1" si="350"/>
        <v>0</v>
      </c>
      <c r="HJ72" s="201">
        <f t="shared" ca="1" si="351"/>
        <v>0</v>
      </c>
      <c r="HK72" s="201">
        <f t="shared" ca="1" si="352"/>
        <v>0</v>
      </c>
      <c r="HL72" s="201">
        <f t="shared" ca="1" si="353"/>
        <v>0</v>
      </c>
      <c r="HM72" s="201">
        <f t="shared" ca="1" si="354"/>
        <v>0</v>
      </c>
      <c r="HN72" s="201">
        <f t="shared" ca="1" si="355"/>
        <v>0</v>
      </c>
      <c r="HO72" s="201">
        <f t="shared" ca="1" si="356"/>
        <v>0</v>
      </c>
      <c r="HP72" s="201">
        <f t="shared" ca="1" si="357"/>
        <v>0</v>
      </c>
      <c r="HQ72" s="54"/>
    </row>
    <row r="73" spans="1:225" x14ac:dyDescent="0.3">
      <c r="A73" s="513">
        <v>55</v>
      </c>
      <c r="B73" s="514" t="s">
        <v>478</v>
      </c>
      <c r="C73" s="514" t="s">
        <v>390</v>
      </c>
      <c r="D73" s="514" t="s">
        <v>390</v>
      </c>
      <c r="E73" s="513">
        <v>1</v>
      </c>
      <c r="F73" s="515">
        <v>7.38</v>
      </c>
      <c r="G73" s="515">
        <v>6.78</v>
      </c>
      <c r="H73" s="513">
        <v>1</v>
      </c>
      <c r="I73" s="517">
        <v>1</v>
      </c>
      <c r="J73" s="518" t="s">
        <v>42</v>
      </c>
      <c r="K73" s="513">
        <f t="shared" si="724"/>
        <v>90</v>
      </c>
      <c r="L73" s="519">
        <v>7.74</v>
      </c>
      <c r="M73" s="519">
        <v>6.5299999999999994</v>
      </c>
      <c r="N73" s="519">
        <v>6.2299999999999995</v>
      </c>
      <c r="O73" s="519">
        <v>5.93</v>
      </c>
      <c r="P73" s="519">
        <v>5.47</v>
      </c>
      <c r="Q73" s="519">
        <v>5</v>
      </c>
      <c r="R73" s="519">
        <v>4.2</v>
      </c>
      <c r="S73" s="519">
        <v>0</v>
      </c>
      <c r="T73" s="519">
        <v>0</v>
      </c>
      <c r="U73" s="519">
        <v>0</v>
      </c>
      <c r="V73" s="536"/>
      <c r="W73" s="536"/>
      <c r="X73" s="536"/>
      <c r="Y73" s="536"/>
      <c r="Z73" s="536"/>
      <c r="AA73" s="536"/>
      <c r="AB73" s="536"/>
      <c r="AC73" s="536"/>
      <c r="AD73" s="536"/>
      <c r="AE73" s="536"/>
      <c r="AF73" s="54"/>
      <c r="AG73" s="204" t="str">
        <f t="shared" si="465"/>
        <v>Res1</v>
      </c>
      <c r="AH73" s="204">
        <f t="shared" si="294"/>
        <v>4</v>
      </c>
      <c r="AI73" s="204">
        <f t="shared" si="725"/>
        <v>1</v>
      </c>
      <c r="AJ73" s="54"/>
      <c r="AK73" s="74">
        <f>IFERROR(IF(H73&gt;4,0,AI73*Inputs!$C$55),0)</f>
        <v>2.6</v>
      </c>
      <c r="AL73" s="81">
        <f>IFERROR(Inputs!$C$73,0)</f>
        <v>5</v>
      </c>
      <c r="AM73" s="211">
        <f>IFERROR(Inputs!$C$74,0)</f>
        <v>0.24299999999999999</v>
      </c>
      <c r="AN73" s="446">
        <f>IFERROR(HLOOKUP(HLOOKUP(AN$17,$V$18:$AE73,COUNTA($AK$18:$AK73),FALSE),Inputs!$B$58:$H$59,2,FALSE),0)</f>
        <v>0</v>
      </c>
      <c r="AO73" s="447">
        <f t="shared" si="295"/>
        <v>0</v>
      </c>
      <c r="AP73" s="447">
        <f t="shared" si="296"/>
        <v>0</v>
      </c>
      <c r="AQ73" s="446">
        <f>IFERROR(HLOOKUP(HLOOKUP(AQ$17,$V$18:$AE73,COUNTA($AK$18:$AK73),FALSE),Inputs!$B$58:$H$59,2,FALSE),0)</f>
        <v>0</v>
      </c>
      <c r="AR73" s="447">
        <f t="shared" ref="AR73" si="954">2*$AK73*AQ73*$AL73/100*$AM73</f>
        <v>0</v>
      </c>
      <c r="AS73" s="447">
        <f t="shared" si="298"/>
        <v>0</v>
      </c>
      <c r="AT73" s="446">
        <f>IFERROR(HLOOKUP(HLOOKUP(AT$17,$V$18:$AE73,COUNTA($AK$18:$AK73),FALSE),Inputs!$B$58:$H$59,2,FALSE),0)</f>
        <v>0</v>
      </c>
      <c r="AU73" s="447">
        <f t="shared" ref="AU73" si="955">2*$AK73*AT73*$AL73/100*$AM73</f>
        <v>0</v>
      </c>
      <c r="AV73" s="447">
        <f t="shared" si="300"/>
        <v>0</v>
      </c>
      <c r="AW73" s="446">
        <f>IFERROR(HLOOKUP(HLOOKUP(AW$17,$V$18:$AE73,COUNTA($AK$18:$AK73),FALSE),Inputs!$B$58:$H$59,2,FALSE),0)</f>
        <v>0</v>
      </c>
      <c r="AX73" s="447">
        <f t="shared" ref="AX73" si="956">2*$AK73*AW73*$AL73/100*$AM73</f>
        <v>0</v>
      </c>
      <c r="AY73" s="447">
        <f t="shared" si="302"/>
        <v>0</v>
      </c>
      <c r="AZ73" s="446">
        <f>IFERROR(HLOOKUP(HLOOKUP(AZ$17,$V$18:$AE73,COUNTA($AK$18:$AK73),FALSE),Inputs!$B$58:$H$59,2,FALSE),0)</f>
        <v>0</v>
      </c>
      <c r="BA73" s="447">
        <f t="shared" ref="BA73" si="957">2*$AK73*AZ73*$AL73/100*$AM73</f>
        <v>0</v>
      </c>
      <c r="BB73" s="447">
        <f t="shared" si="304"/>
        <v>0</v>
      </c>
      <c r="BC73" s="446">
        <f>IFERROR(HLOOKUP(HLOOKUP(BC$17,$V$18:$AE73,COUNTA($AK$18:$AK73),FALSE),Inputs!$B$58:$H$59,2,FALSE),0)</f>
        <v>0</v>
      </c>
      <c r="BD73" s="447">
        <f t="shared" ref="BD73" si="958">2*$AK73*BC73*$AL73/100*$AM73</f>
        <v>0</v>
      </c>
      <c r="BE73" s="447">
        <f t="shared" si="306"/>
        <v>0</v>
      </c>
      <c r="BF73" s="446">
        <f>IFERROR(HLOOKUP(HLOOKUP(BF$17,$V$18:$AE73,COUNTA($AK$18:$AK73),FALSE),Inputs!$B$58:$H$59,2,FALSE),0)</f>
        <v>0</v>
      </c>
      <c r="BG73" s="447">
        <f t="shared" ref="BG73" si="959">2*$AK73*BF73*$AL73/100*$AM73</f>
        <v>0</v>
      </c>
      <c r="BH73" s="447">
        <f t="shared" si="308"/>
        <v>0</v>
      </c>
      <c r="BI73" s="446">
        <f>IFERROR(HLOOKUP(HLOOKUP(BI$17,$V$18:$AE73,COUNTA($AK$18:$AK73),FALSE),Inputs!$B$58:$H$59,2,FALSE),0)</f>
        <v>0</v>
      </c>
      <c r="BJ73" s="447">
        <f t="shared" ref="BJ73" si="960">2*$AK73*BI73*$AL73/100*$AM73</f>
        <v>0</v>
      </c>
      <c r="BK73" s="447">
        <f t="shared" si="310"/>
        <v>0</v>
      </c>
      <c r="BL73" s="446">
        <f>IFERROR(HLOOKUP(HLOOKUP(BL$17,$V$18:$AE73,COUNTA($AK$18:$AK73),FALSE),Inputs!$B$58:$H$59,2,FALSE),0)</f>
        <v>0</v>
      </c>
      <c r="BM73" s="447">
        <f t="shared" ref="BM73" si="961">2*$AK73*BL73*$AL73/100*$AM73</f>
        <v>0</v>
      </c>
      <c r="BN73" s="447">
        <f t="shared" si="312"/>
        <v>0</v>
      </c>
      <c r="BO73" s="446">
        <f>IFERROR(HLOOKUP(HLOOKUP(BO$17,$V$18:$AE73,COUNTA($AK$18:$AK73),FALSE),Inputs!$B$58:$H$59,2,FALSE),0)</f>
        <v>0</v>
      </c>
      <c r="BP73" s="447">
        <f t="shared" ref="BP73" si="962">2*$AK73*BO73*$AL73/100*$AM73</f>
        <v>0</v>
      </c>
      <c r="BQ73" s="447">
        <f t="shared" si="314"/>
        <v>0</v>
      </c>
      <c r="BR73" s="54"/>
      <c r="BS73" s="103">
        <f t="shared" ca="1" si="735"/>
        <v>40.665981186685961</v>
      </c>
      <c r="BT73" s="103">
        <f t="shared" ca="1" si="396"/>
        <v>30.666519338027467</v>
      </c>
      <c r="BU73" s="103">
        <f t="shared" si="397"/>
        <v>15.403780752532562</v>
      </c>
      <c r="BV73" s="103">
        <f t="shared" si="398"/>
        <v>0</v>
      </c>
      <c r="BW73" s="152">
        <f t="shared" ca="1" si="399"/>
        <v>86.736281277245979</v>
      </c>
      <c r="BX73" s="441"/>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188">
        <f t="shared" si="315"/>
        <v>0.36000000000000032</v>
      </c>
      <c r="DE73" s="188">
        <f t="shared" si="316"/>
        <v>-0.3</v>
      </c>
      <c r="DF73" s="188">
        <f t="shared" si="317"/>
        <v>-0.3</v>
      </c>
      <c r="DG73" s="188">
        <f t="shared" si="318"/>
        <v>-0.3</v>
      </c>
      <c r="DH73" s="188">
        <f t="shared" si="319"/>
        <v>-0.3</v>
      </c>
      <c r="DI73" s="188">
        <f t="shared" si="320"/>
        <v>-0.3</v>
      </c>
      <c r="DJ73" s="188">
        <f t="shared" si="321"/>
        <v>-0.3</v>
      </c>
      <c r="DK73" s="188">
        <f t="shared" si="322"/>
        <v>-0.3</v>
      </c>
      <c r="DL73" s="188">
        <f t="shared" si="323"/>
        <v>-0.3</v>
      </c>
      <c r="DM73" s="188">
        <f t="shared" si="324"/>
        <v>-0.3</v>
      </c>
      <c r="DN73" s="189">
        <f t="shared" si="325"/>
        <v>0.96</v>
      </c>
      <c r="DO73" s="189">
        <f t="shared" si="326"/>
        <v>0</v>
      </c>
      <c r="DP73" s="189">
        <f t="shared" si="327"/>
        <v>0</v>
      </c>
      <c r="DQ73" s="189">
        <f t="shared" si="328"/>
        <v>0</v>
      </c>
      <c r="DR73" s="189">
        <f t="shared" si="329"/>
        <v>0</v>
      </c>
      <c r="DS73" s="189">
        <f t="shared" si="330"/>
        <v>0</v>
      </c>
      <c r="DT73" s="189">
        <f t="shared" si="331"/>
        <v>0</v>
      </c>
      <c r="DU73" s="189">
        <f t="shared" si="332"/>
        <v>0</v>
      </c>
      <c r="DV73" s="189">
        <f t="shared" si="333"/>
        <v>0</v>
      </c>
      <c r="DW73" s="189">
        <f t="shared" si="334"/>
        <v>0</v>
      </c>
      <c r="DX73" s="54"/>
      <c r="DY73" s="54"/>
      <c r="DZ73" s="199">
        <f t="shared" ca="1" si="736"/>
        <v>40870.332850940664</v>
      </c>
      <c r="EA73" s="200">
        <f t="shared" si="335"/>
        <v>1</v>
      </c>
      <c r="EB73" s="201">
        <f t="shared" ca="1" si="737"/>
        <v>30820.622450278861</v>
      </c>
      <c r="EC73" s="200">
        <f t="shared" si="336"/>
        <v>1</v>
      </c>
      <c r="ED73" s="201" cm="1">
        <f t="array" ref="ED73">IF(LEFT($AG73,3)="Res",IF(OR($DN73&gt;External_Threshold,$DD73&gt;0),1*Uplift*AWE*(External),0),0)</f>
        <v>15481.186685962373</v>
      </c>
      <c r="EE73" s="200">
        <f t="shared" si="337"/>
        <v>1</v>
      </c>
      <c r="EF73" s="201">
        <f t="shared" si="738"/>
        <v>0</v>
      </c>
      <c r="EG73" s="203">
        <f t="shared" si="338"/>
        <v>0</v>
      </c>
      <c r="EH73" s="199">
        <f t="shared" ca="1" si="739"/>
        <v>0</v>
      </c>
      <c r="EI73" s="200">
        <f t="shared" si="241"/>
        <v>0</v>
      </c>
      <c r="EJ73" s="201">
        <f t="shared" ca="1" si="740"/>
        <v>0</v>
      </c>
      <c r="EK73" s="200">
        <f t="shared" si="243"/>
        <v>0</v>
      </c>
      <c r="EL73" s="201" cm="1">
        <f t="array" ref="EL73">IF(LEFT($AG73,3)="Res",IF(OR($DO73&gt;External_Threshold,$DE73&gt;0),1*Uplift*AWE*(External),0),0)</f>
        <v>0</v>
      </c>
      <c r="EM73" s="200">
        <f t="shared" si="244"/>
        <v>0</v>
      </c>
      <c r="EN73" s="201">
        <f t="shared" si="741"/>
        <v>0</v>
      </c>
      <c r="EO73" s="203">
        <f t="shared" si="339"/>
        <v>0</v>
      </c>
      <c r="EP73" s="199">
        <f t="shared" ca="1" si="742"/>
        <v>0</v>
      </c>
      <c r="EQ73" s="200">
        <f t="shared" si="247"/>
        <v>0</v>
      </c>
      <c r="ER73" s="201">
        <f t="shared" ca="1" si="743"/>
        <v>0</v>
      </c>
      <c r="ES73" s="200">
        <f t="shared" si="249"/>
        <v>0</v>
      </c>
      <c r="ET73" s="201" cm="1">
        <f t="array" ref="ET73">IF(LEFT($AG73,3)="Res",IF(OR($DP73&gt;External_Threshold,$DF73&gt;0),1*Uplift*AWE*(External),0),0)</f>
        <v>0</v>
      </c>
      <c r="EU73" s="200">
        <f t="shared" si="250"/>
        <v>0</v>
      </c>
      <c r="EV73" s="201">
        <f t="shared" si="744"/>
        <v>0</v>
      </c>
      <c r="EW73" s="203">
        <f t="shared" si="340"/>
        <v>0</v>
      </c>
      <c r="EX73" s="199">
        <f t="shared" ca="1" si="745"/>
        <v>0</v>
      </c>
      <c r="EY73" s="200">
        <f t="shared" si="253"/>
        <v>0</v>
      </c>
      <c r="EZ73" s="201">
        <f t="shared" ca="1" si="746"/>
        <v>0</v>
      </c>
      <c r="FA73" s="200">
        <f t="shared" si="255"/>
        <v>0</v>
      </c>
      <c r="FB73" s="201" cm="1">
        <f t="array" ref="FB73">IF(LEFT($AG73,3)="Res",IF(OR($DQ73&gt;External_Threshold,$DG73&gt;0),1*Uplift*AWE*(External),0),0)</f>
        <v>0</v>
      </c>
      <c r="FC73" s="200">
        <f t="shared" si="256"/>
        <v>0</v>
      </c>
      <c r="FD73" s="201">
        <f t="shared" si="257"/>
        <v>0</v>
      </c>
      <c r="FE73" s="203">
        <f t="shared" si="341"/>
        <v>0</v>
      </c>
      <c r="FF73" s="199">
        <f t="shared" ca="1" si="747"/>
        <v>0</v>
      </c>
      <c r="FG73" s="200">
        <f t="shared" si="259"/>
        <v>0</v>
      </c>
      <c r="FH73" s="201">
        <f t="shared" ca="1" si="748"/>
        <v>0</v>
      </c>
      <c r="FI73" s="200">
        <f t="shared" si="261"/>
        <v>0</v>
      </c>
      <c r="FJ73" s="201" cm="1">
        <f t="array" ref="FJ73">IF(LEFT($AG73,3)="Res",IF(OR($DR73&gt;External_Threshold,$DH73&gt;0),1*Uplift*AWE*(External),0),0)</f>
        <v>0</v>
      </c>
      <c r="FK73" s="200">
        <f t="shared" si="262"/>
        <v>0</v>
      </c>
      <c r="FL73" s="201">
        <f t="shared" si="749"/>
        <v>0</v>
      </c>
      <c r="FM73" s="203">
        <f t="shared" si="342"/>
        <v>0</v>
      </c>
      <c r="FN73" s="199">
        <f t="shared" ca="1" si="750"/>
        <v>0</v>
      </c>
      <c r="FO73" s="200">
        <f t="shared" si="265"/>
        <v>0</v>
      </c>
      <c r="FP73" s="201">
        <f t="shared" ca="1" si="751"/>
        <v>0</v>
      </c>
      <c r="FQ73" s="200">
        <f t="shared" si="267"/>
        <v>0</v>
      </c>
      <c r="FR73" s="201" cm="1">
        <f t="array" ref="FR73">IF(LEFT($AG73,3)="Res",IF(OR($DS73&gt;External_Threshold,$DI73&gt;0),1*Uplift*AWE*(External),0),0)</f>
        <v>0</v>
      </c>
      <c r="FS73" s="200">
        <f t="shared" si="268"/>
        <v>0</v>
      </c>
      <c r="FT73" s="201">
        <f t="shared" si="752"/>
        <v>0</v>
      </c>
      <c r="FU73" s="203">
        <f t="shared" si="343"/>
        <v>0</v>
      </c>
      <c r="FV73" s="199">
        <f t="shared" ca="1" si="753"/>
        <v>0</v>
      </c>
      <c r="FW73" s="200">
        <f t="shared" si="271"/>
        <v>0</v>
      </c>
      <c r="FX73" s="201">
        <f t="shared" ca="1" si="754"/>
        <v>0</v>
      </c>
      <c r="FY73" s="200">
        <f t="shared" si="273"/>
        <v>0</v>
      </c>
      <c r="FZ73" s="201" cm="1">
        <f t="array" ref="FZ73">IF(LEFT($AG73,3)="Res",IF(OR($DT73&gt;External_Threshold,$DJ73&gt;0),1*Uplift*AWE*(External),0),0)</f>
        <v>0</v>
      </c>
      <c r="GA73" s="200">
        <f t="shared" si="274"/>
        <v>0</v>
      </c>
      <c r="GB73" s="201">
        <f t="shared" si="755"/>
        <v>0</v>
      </c>
      <c r="GC73" s="203">
        <f t="shared" si="344"/>
        <v>0</v>
      </c>
      <c r="GD73" s="199">
        <f t="shared" ca="1" si="756"/>
        <v>0</v>
      </c>
      <c r="GE73" s="200">
        <f t="shared" si="277"/>
        <v>0</v>
      </c>
      <c r="GF73" s="201">
        <f t="shared" ca="1" si="757"/>
        <v>0</v>
      </c>
      <c r="GG73" s="200">
        <f t="shared" si="279"/>
        <v>0</v>
      </c>
      <c r="GH73" s="201" cm="1">
        <f t="array" ref="GH73">IF(LEFT($AG73,3)="Res",IF(OR($DU73&gt;External_Threshold,$DK73&gt;0),1*Uplift*AWE*(External),0),0)</f>
        <v>0</v>
      </c>
      <c r="GI73" s="200">
        <f t="shared" si="280"/>
        <v>0</v>
      </c>
      <c r="GJ73" s="201">
        <f t="shared" si="758"/>
        <v>0</v>
      </c>
      <c r="GK73" s="203">
        <f t="shared" si="345"/>
        <v>0</v>
      </c>
      <c r="GL73" s="199">
        <f t="shared" ca="1" si="759"/>
        <v>0</v>
      </c>
      <c r="GM73" s="200">
        <f t="shared" si="283"/>
        <v>0</v>
      </c>
      <c r="GN73" s="201">
        <f t="shared" ca="1" si="760"/>
        <v>0</v>
      </c>
      <c r="GO73" s="200">
        <f t="shared" si="285"/>
        <v>0</v>
      </c>
      <c r="GP73" s="201" cm="1">
        <f t="array" ref="GP73">IF(LEFT($AG73,3)="Res",IF(OR($DV73&gt;External_Threshold,$DL73&gt;0),1*Uplift*AWE*(External),0),0)</f>
        <v>0</v>
      </c>
      <c r="GQ73" s="200">
        <f t="shared" si="286"/>
        <v>0</v>
      </c>
      <c r="GR73" s="201">
        <f t="shared" si="761"/>
        <v>0</v>
      </c>
      <c r="GS73" s="203">
        <f t="shared" si="346"/>
        <v>0</v>
      </c>
      <c r="GT73" s="199">
        <f t="shared" ca="1" si="762"/>
        <v>0</v>
      </c>
      <c r="GU73" s="200">
        <f t="shared" si="289"/>
        <v>0</v>
      </c>
      <c r="GV73" s="201">
        <f t="shared" ca="1" si="763"/>
        <v>0</v>
      </c>
      <c r="GW73" s="200">
        <f t="shared" si="291"/>
        <v>0</v>
      </c>
      <c r="GX73" s="201" cm="1">
        <f t="array" ref="GX73">IF(LEFT($AG73,3)="Res",IF(OR($DW73&gt;External_Threshold,$DM73&gt;0),1*Uplift*AWE*(External),0),0)</f>
        <v>0</v>
      </c>
      <c r="GY73" s="200">
        <f t="shared" si="292"/>
        <v>0</v>
      </c>
      <c r="GZ73" s="201">
        <f t="shared" si="764"/>
        <v>0</v>
      </c>
      <c r="HA73" s="203">
        <f t="shared" si="347"/>
        <v>0</v>
      </c>
      <c r="HB73" s="54"/>
      <c r="HC73" s="54"/>
      <c r="HD73" s="54"/>
      <c r="HE73" s="54"/>
      <c r="HF73" s="54"/>
      <c r="HG73" s="201">
        <f t="shared" ca="1" si="348"/>
        <v>87172.141987181894</v>
      </c>
      <c r="HH73" s="201">
        <f t="shared" ca="1" si="349"/>
        <v>0</v>
      </c>
      <c r="HI73" s="201">
        <f t="shared" ca="1" si="350"/>
        <v>0</v>
      </c>
      <c r="HJ73" s="201">
        <f t="shared" ca="1" si="351"/>
        <v>0</v>
      </c>
      <c r="HK73" s="201">
        <f t="shared" ca="1" si="352"/>
        <v>0</v>
      </c>
      <c r="HL73" s="201">
        <f t="shared" ca="1" si="353"/>
        <v>0</v>
      </c>
      <c r="HM73" s="201">
        <f t="shared" ca="1" si="354"/>
        <v>0</v>
      </c>
      <c r="HN73" s="201">
        <f t="shared" ca="1" si="355"/>
        <v>0</v>
      </c>
      <c r="HO73" s="201">
        <f t="shared" ca="1" si="356"/>
        <v>0</v>
      </c>
      <c r="HP73" s="201">
        <f t="shared" ca="1" si="357"/>
        <v>0</v>
      </c>
      <c r="HQ73" s="54"/>
    </row>
    <row r="74" spans="1:225" x14ac:dyDescent="0.3">
      <c r="A74" s="513">
        <v>56</v>
      </c>
      <c r="B74" s="514" t="s">
        <v>479</v>
      </c>
      <c r="C74" s="514" t="s">
        <v>390</v>
      </c>
      <c r="D74" s="514" t="s">
        <v>390</v>
      </c>
      <c r="E74" s="513">
        <v>1</v>
      </c>
      <c r="F74" s="515">
        <v>7.11</v>
      </c>
      <c r="G74" s="515">
        <v>6.62</v>
      </c>
      <c r="H74" s="513">
        <v>2</v>
      </c>
      <c r="I74" s="517">
        <v>1</v>
      </c>
      <c r="J74" s="518" t="s">
        <v>43</v>
      </c>
      <c r="K74" s="513">
        <f t="shared" si="724"/>
        <v>180</v>
      </c>
      <c r="L74" s="519">
        <v>7.74</v>
      </c>
      <c r="M74" s="519">
        <v>6.5299999999999994</v>
      </c>
      <c r="N74" s="519">
        <v>6.2299999999999995</v>
      </c>
      <c r="O74" s="519">
        <v>5.93</v>
      </c>
      <c r="P74" s="519">
        <v>5.47</v>
      </c>
      <c r="Q74" s="519">
        <v>5</v>
      </c>
      <c r="R74" s="519">
        <v>4.2</v>
      </c>
      <c r="S74" s="519">
        <v>0</v>
      </c>
      <c r="T74" s="519">
        <v>0</v>
      </c>
      <c r="U74" s="519">
        <v>0</v>
      </c>
      <c r="V74" s="536"/>
      <c r="W74" s="536"/>
      <c r="X74" s="536"/>
      <c r="Y74" s="536"/>
      <c r="Z74" s="536"/>
      <c r="AA74" s="536"/>
      <c r="AB74" s="536"/>
      <c r="AC74" s="536"/>
      <c r="AD74" s="536"/>
      <c r="AE74" s="536"/>
      <c r="AF74" s="54"/>
      <c r="AG74" s="204" t="str">
        <f t="shared" si="465"/>
        <v>Res1</v>
      </c>
      <c r="AH74" s="204">
        <f t="shared" si="294"/>
        <v>5</v>
      </c>
      <c r="AI74" s="204">
        <f t="shared" si="725"/>
        <v>1</v>
      </c>
      <c r="AJ74" s="54"/>
      <c r="AK74" s="74">
        <f>IFERROR(IF(H74&gt;4,0,AI74*Inputs!$C$55),0)</f>
        <v>2.6</v>
      </c>
      <c r="AL74" s="81">
        <f>IFERROR(Inputs!$C$73,0)</f>
        <v>5</v>
      </c>
      <c r="AM74" s="211">
        <f>IFERROR(Inputs!$C$74,0)</f>
        <v>0.24299999999999999</v>
      </c>
      <c r="AN74" s="446">
        <f>IFERROR(HLOOKUP(HLOOKUP(AN$17,$V$18:$AE74,COUNTA($AK$18:$AK74),FALSE),Inputs!$B$58:$H$59,2,FALSE),0)</f>
        <v>0</v>
      </c>
      <c r="AO74" s="447">
        <f t="shared" si="295"/>
        <v>0</v>
      </c>
      <c r="AP74" s="447">
        <f t="shared" si="296"/>
        <v>0</v>
      </c>
      <c r="AQ74" s="446">
        <f>IFERROR(HLOOKUP(HLOOKUP(AQ$17,$V$18:$AE74,COUNTA($AK$18:$AK74),FALSE),Inputs!$B$58:$H$59,2,FALSE),0)</f>
        <v>0</v>
      </c>
      <c r="AR74" s="447">
        <f t="shared" ref="AR74" si="963">2*$AK74*AQ74*$AL74/100*$AM74</f>
        <v>0</v>
      </c>
      <c r="AS74" s="447">
        <f t="shared" si="298"/>
        <v>0</v>
      </c>
      <c r="AT74" s="446">
        <f>IFERROR(HLOOKUP(HLOOKUP(AT$17,$V$18:$AE74,COUNTA($AK$18:$AK74),FALSE),Inputs!$B$58:$H$59,2,FALSE),0)</f>
        <v>0</v>
      </c>
      <c r="AU74" s="447">
        <f t="shared" ref="AU74" si="964">2*$AK74*AT74*$AL74/100*$AM74</f>
        <v>0</v>
      </c>
      <c r="AV74" s="447">
        <f t="shared" si="300"/>
        <v>0</v>
      </c>
      <c r="AW74" s="446">
        <f>IFERROR(HLOOKUP(HLOOKUP(AW$17,$V$18:$AE74,COUNTA($AK$18:$AK74),FALSE),Inputs!$B$58:$H$59,2,FALSE),0)</f>
        <v>0</v>
      </c>
      <c r="AX74" s="447">
        <f t="shared" ref="AX74" si="965">2*$AK74*AW74*$AL74/100*$AM74</f>
        <v>0</v>
      </c>
      <c r="AY74" s="447">
        <f t="shared" si="302"/>
        <v>0</v>
      </c>
      <c r="AZ74" s="446">
        <f>IFERROR(HLOOKUP(HLOOKUP(AZ$17,$V$18:$AE74,COUNTA($AK$18:$AK74),FALSE),Inputs!$B$58:$H$59,2,FALSE),0)</f>
        <v>0</v>
      </c>
      <c r="BA74" s="447">
        <f t="shared" ref="BA74" si="966">2*$AK74*AZ74*$AL74/100*$AM74</f>
        <v>0</v>
      </c>
      <c r="BB74" s="447">
        <f t="shared" si="304"/>
        <v>0</v>
      </c>
      <c r="BC74" s="446">
        <f>IFERROR(HLOOKUP(HLOOKUP(BC$17,$V$18:$AE74,COUNTA($AK$18:$AK74),FALSE),Inputs!$B$58:$H$59,2,FALSE),0)</f>
        <v>0</v>
      </c>
      <c r="BD74" s="447">
        <f t="shared" ref="BD74" si="967">2*$AK74*BC74*$AL74/100*$AM74</f>
        <v>0</v>
      </c>
      <c r="BE74" s="447">
        <f t="shared" si="306"/>
        <v>0</v>
      </c>
      <c r="BF74" s="446">
        <f>IFERROR(HLOOKUP(HLOOKUP(BF$17,$V$18:$AE74,COUNTA($AK$18:$AK74),FALSE),Inputs!$B$58:$H$59,2,FALSE),0)</f>
        <v>0</v>
      </c>
      <c r="BG74" s="447">
        <f t="shared" ref="BG74" si="968">2*$AK74*BF74*$AL74/100*$AM74</f>
        <v>0</v>
      </c>
      <c r="BH74" s="447">
        <f t="shared" si="308"/>
        <v>0</v>
      </c>
      <c r="BI74" s="446">
        <f>IFERROR(HLOOKUP(HLOOKUP(BI$17,$V$18:$AE74,COUNTA($AK$18:$AK74),FALSE),Inputs!$B$58:$H$59,2,FALSE),0)</f>
        <v>0</v>
      </c>
      <c r="BJ74" s="447">
        <f t="shared" ref="BJ74" si="969">2*$AK74*BI74*$AL74/100*$AM74</f>
        <v>0</v>
      </c>
      <c r="BK74" s="447">
        <f t="shared" si="310"/>
        <v>0</v>
      </c>
      <c r="BL74" s="446">
        <f>IFERROR(HLOOKUP(HLOOKUP(BL$17,$V$18:$AE74,COUNTA($AK$18:$AK74),FALSE),Inputs!$B$58:$H$59,2,FALSE),0)</f>
        <v>0</v>
      </c>
      <c r="BM74" s="447">
        <f t="shared" ref="BM74" si="970">2*$AK74*BL74*$AL74/100*$AM74</f>
        <v>0</v>
      </c>
      <c r="BN74" s="447">
        <f t="shared" si="312"/>
        <v>0</v>
      </c>
      <c r="BO74" s="446">
        <f>IFERROR(HLOOKUP(HLOOKUP(BO$17,$V$18:$AE74,COUNTA($AK$18:$AK74),FALSE),Inputs!$B$58:$H$59,2,FALSE),0)</f>
        <v>0</v>
      </c>
      <c r="BP74" s="447">
        <f t="shared" ref="BP74" si="971">2*$AK74*BO74*$AL74/100*$AM74</f>
        <v>0</v>
      </c>
      <c r="BQ74" s="447">
        <f t="shared" si="314"/>
        <v>0</v>
      </c>
      <c r="BR74" s="54"/>
      <c r="BS74" s="103">
        <f t="shared" ca="1" si="735"/>
        <v>83.619423815123014</v>
      </c>
      <c r="BT74" s="103">
        <f t="shared" ca="1" si="396"/>
        <v>67.387867166599634</v>
      </c>
      <c r="BU74" s="103">
        <f t="shared" si="397"/>
        <v>15.403780752532562</v>
      </c>
      <c r="BV74" s="103">
        <f t="shared" si="398"/>
        <v>0</v>
      </c>
      <c r="BW74" s="152">
        <f t="shared" ca="1" si="399"/>
        <v>166.41107173425519</v>
      </c>
      <c r="BX74" s="441"/>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188">
        <f t="shared" si="315"/>
        <v>0.62999999999999989</v>
      </c>
      <c r="DE74" s="188">
        <f t="shared" si="316"/>
        <v>-0.3</v>
      </c>
      <c r="DF74" s="188">
        <f t="shared" si="317"/>
        <v>-0.3</v>
      </c>
      <c r="DG74" s="188">
        <f t="shared" si="318"/>
        <v>-0.3</v>
      </c>
      <c r="DH74" s="188">
        <f t="shared" si="319"/>
        <v>-0.3</v>
      </c>
      <c r="DI74" s="188">
        <f t="shared" si="320"/>
        <v>-0.3</v>
      </c>
      <c r="DJ74" s="188">
        <f t="shared" si="321"/>
        <v>-0.3</v>
      </c>
      <c r="DK74" s="188">
        <f t="shared" si="322"/>
        <v>-0.3</v>
      </c>
      <c r="DL74" s="188">
        <f t="shared" si="323"/>
        <v>-0.3</v>
      </c>
      <c r="DM74" s="188">
        <f t="shared" si="324"/>
        <v>-0.3</v>
      </c>
      <c r="DN74" s="189">
        <f t="shared" si="325"/>
        <v>1.1200000000000001</v>
      </c>
      <c r="DO74" s="189">
        <f t="shared" si="326"/>
        <v>0</v>
      </c>
      <c r="DP74" s="189">
        <f t="shared" si="327"/>
        <v>0</v>
      </c>
      <c r="DQ74" s="189">
        <f t="shared" si="328"/>
        <v>0</v>
      </c>
      <c r="DR74" s="189">
        <f t="shared" si="329"/>
        <v>0</v>
      </c>
      <c r="DS74" s="189">
        <f t="shared" si="330"/>
        <v>0</v>
      </c>
      <c r="DT74" s="189">
        <f t="shared" si="331"/>
        <v>0</v>
      </c>
      <c r="DU74" s="189">
        <f t="shared" si="332"/>
        <v>0</v>
      </c>
      <c r="DV74" s="189">
        <f t="shared" si="333"/>
        <v>0</v>
      </c>
      <c r="DW74" s="189">
        <f t="shared" si="334"/>
        <v>0</v>
      </c>
      <c r="DX74" s="54"/>
      <c r="DY74" s="54"/>
      <c r="DZ74" s="199">
        <f t="shared" ca="1" si="736"/>
        <v>84039.621924746752</v>
      </c>
      <c r="EA74" s="200">
        <f t="shared" si="335"/>
        <v>1</v>
      </c>
      <c r="EB74" s="201">
        <f t="shared" ca="1" si="737"/>
        <v>67726.499664924253</v>
      </c>
      <c r="EC74" s="200">
        <f t="shared" si="336"/>
        <v>1</v>
      </c>
      <c r="ED74" s="201" cm="1">
        <f t="array" ref="ED74">IF(LEFT($AG74,3)="Res",IF(OR($DN74&gt;External_Threshold,$DD74&gt;0),1*Uplift*AWE*(External),0),0)</f>
        <v>15481.186685962373</v>
      </c>
      <c r="EE74" s="200">
        <f t="shared" si="337"/>
        <v>1</v>
      </c>
      <c r="EF74" s="201">
        <f t="shared" si="738"/>
        <v>0</v>
      </c>
      <c r="EG74" s="203">
        <f t="shared" si="338"/>
        <v>0</v>
      </c>
      <c r="EH74" s="199">
        <f t="shared" ca="1" si="739"/>
        <v>0</v>
      </c>
      <c r="EI74" s="200">
        <f t="shared" si="241"/>
        <v>0</v>
      </c>
      <c r="EJ74" s="201">
        <f t="shared" ca="1" si="740"/>
        <v>0</v>
      </c>
      <c r="EK74" s="200">
        <f t="shared" si="243"/>
        <v>0</v>
      </c>
      <c r="EL74" s="201" cm="1">
        <f t="array" ref="EL74">IF(LEFT($AG74,3)="Res",IF(OR($DO74&gt;External_Threshold,$DE74&gt;0),1*Uplift*AWE*(External),0),0)</f>
        <v>0</v>
      </c>
      <c r="EM74" s="200">
        <f t="shared" si="244"/>
        <v>0</v>
      </c>
      <c r="EN74" s="201">
        <f t="shared" si="741"/>
        <v>0</v>
      </c>
      <c r="EO74" s="203">
        <f t="shared" si="339"/>
        <v>0</v>
      </c>
      <c r="EP74" s="199">
        <f t="shared" ca="1" si="742"/>
        <v>0</v>
      </c>
      <c r="EQ74" s="200">
        <f t="shared" si="247"/>
        <v>0</v>
      </c>
      <c r="ER74" s="201">
        <f t="shared" ca="1" si="743"/>
        <v>0</v>
      </c>
      <c r="ES74" s="200">
        <f t="shared" si="249"/>
        <v>0</v>
      </c>
      <c r="ET74" s="201" cm="1">
        <f t="array" ref="ET74">IF(LEFT($AG74,3)="Res",IF(OR($DP74&gt;External_Threshold,$DF74&gt;0),1*Uplift*AWE*(External),0),0)</f>
        <v>0</v>
      </c>
      <c r="EU74" s="200">
        <f t="shared" si="250"/>
        <v>0</v>
      </c>
      <c r="EV74" s="201">
        <f t="shared" si="744"/>
        <v>0</v>
      </c>
      <c r="EW74" s="203">
        <f t="shared" si="340"/>
        <v>0</v>
      </c>
      <c r="EX74" s="199">
        <f t="shared" ca="1" si="745"/>
        <v>0</v>
      </c>
      <c r="EY74" s="200">
        <f t="shared" si="253"/>
        <v>0</v>
      </c>
      <c r="EZ74" s="201">
        <f t="shared" ca="1" si="746"/>
        <v>0</v>
      </c>
      <c r="FA74" s="200">
        <f t="shared" si="255"/>
        <v>0</v>
      </c>
      <c r="FB74" s="201" cm="1">
        <f t="array" ref="FB74">IF(LEFT($AG74,3)="Res",IF(OR($DQ74&gt;External_Threshold,$DG74&gt;0),1*Uplift*AWE*(External),0),0)</f>
        <v>0</v>
      </c>
      <c r="FC74" s="200">
        <f t="shared" si="256"/>
        <v>0</v>
      </c>
      <c r="FD74" s="201">
        <f t="shared" si="257"/>
        <v>0</v>
      </c>
      <c r="FE74" s="203">
        <f t="shared" si="341"/>
        <v>0</v>
      </c>
      <c r="FF74" s="199">
        <f t="shared" ca="1" si="747"/>
        <v>0</v>
      </c>
      <c r="FG74" s="200">
        <f t="shared" si="259"/>
        <v>0</v>
      </c>
      <c r="FH74" s="201">
        <f t="shared" ca="1" si="748"/>
        <v>0</v>
      </c>
      <c r="FI74" s="200">
        <f t="shared" si="261"/>
        <v>0</v>
      </c>
      <c r="FJ74" s="201" cm="1">
        <f t="array" ref="FJ74">IF(LEFT($AG74,3)="Res",IF(OR($DR74&gt;External_Threshold,$DH74&gt;0),1*Uplift*AWE*(External),0),0)</f>
        <v>0</v>
      </c>
      <c r="FK74" s="200">
        <f t="shared" si="262"/>
        <v>0</v>
      </c>
      <c r="FL74" s="201">
        <f t="shared" si="749"/>
        <v>0</v>
      </c>
      <c r="FM74" s="203">
        <f t="shared" si="342"/>
        <v>0</v>
      </c>
      <c r="FN74" s="199">
        <f t="shared" ca="1" si="750"/>
        <v>0</v>
      </c>
      <c r="FO74" s="200">
        <f t="shared" si="265"/>
        <v>0</v>
      </c>
      <c r="FP74" s="201">
        <f t="shared" ca="1" si="751"/>
        <v>0</v>
      </c>
      <c r="FQ74" s="200">
        <f t="shared" si="267"/>
        <v>0</v>
      </c>
      <c r="FR74" s="201" cm="1">
        <f t="array" ref="FR74">IF(LEFT($AG74,3)="Res",IF(OR($DS74&gt;External_Threshold,$DI74&gt;0),1*Uplift*AWE*(External),0),0)</f>
        <v>0</v>
      </c>
      <c r="FS74" s="200">
        <f t="shared" si="268"/>
        <v>0</v>
      </c>
      <c r="FT74" s="201">
        <f t="shared" si="752"/>
        <v>0</v>
      </c>
      <c r="FU74" s="203">
        <f t="shared" si="343"/>
        <v>0</v>
      </c>
      <c r="FV74" s="199">
        <f t="shared" ca="1" si="753"/>
        <v>0</v>
      </c>
      <c r="FW74" s="200">
        <f t="shared" si="271"/>
        <v>0</v>
      </c>
      <c r="FX74" s="201">
        <f t="shared" ca="1" si="754"/>
        <v>0</v>
      </c>
      <c r="FY74" s="200">
        <f t="shared" si="273"/>
        <v>0</v>
      </c>
      <c r="FZ74" s="201" cm="1">
        <f t="array" ref="FZ74">IF(LEFT($AG74,3)="Res",IF(OR($DT74&gt;External_Threshold,$DJ74&gt;0),1*Uplift*AWE*(External),0),0)</f>
        <v>0</v>
      </c>
      <c r="GA74" s="200">
        <f t="shared" si="274"/>
        <v>0</v>
      </c>
      <c r="GB74" s="201">
        <f t="shared" si="755"/>
        <v>0</v>
      </c>
      <c r="GC74" s="203">
        <f t="shared" si="344"/>
        <v>0</v>
      </c>
      <c r="GD74" s="199">
        <f t="shared" ca="1" si="756"/>
        <v>0</v>
      </c>
      <c r="GE74" s="200">
        <f t="shared" si="277"/>
        <v>0</v>
      </c>
      <c r="GF74" s="201">
        <f t="shared" ca="1" si="757"/>
        <v>0</v>
      </c>
      <c r="GG74" s="200">
        <f t="shared" si="279"/>
        <v>0</v>
      </c>
      <c r="GH74" s="201" cm="1">
        <f t="array" ref="GH74">IF(LEFT($AG74,3)="Res",IF(OR($DU74&gt;External_Threshold,$DK74&gt;0),1*Uplift*AWE*(External),0),0)</f>
        <v>0</v>
      </c>
      <c r="GI74" s="200">
        <f t="shared" si="280"/>
        <v>0</v>
      </c>
      <c r="GJ74" s="201">
        <f t="shared" si="758"/>
        <v>0</v>
      </c>
      <c r="GK74" s="203">
        <f t="shared" si="345"/>
        <v>0</v>
      </c>
      <c r="GL74" s="199">
        <f t="shared" ca="1" si="759"/>
        <v>0</v>
      </c>
      <c r="GM74" s="200">
        <f t="shared" si="283"/>
        <v>0</v>
      </c>
      <c r="GN74" s="201">
        <f t="shared" ca="1" si="760"/>
        <v>0</v>
      </c>
      <c r="GO74" s="200">
        <f t="shared" si="285"/>
        <v>0</v>
      </c>
      <c r="GP74" s="201" cm="1">
        <f t="array" ref="GP74">IF(LEFT($AG74,3)="Res",IF(OR($DV74&gt;External_Threshold,$DL74&gt;0),1*Uplift*AWE*(External),0),0)</f>
        <v>0</v>
      </c>
      <c r="GQ74" s="200">
        <f t="shared" si="286"/>
        <v>0</v>
      </c>
      <c r="GR74" s="201">
        <f t="shared" si="761"/>
        <v>0</v>
      </c>
      <c r="GS74" s="203">
        <f t="shared" si="346"/>
        <v>0</v>
      </c>
      <c r="GT74" s="199">
        <f t="shared" ca="1" si="762"/>
        <v>0</v>
      </c>
      <c r="GU74" s="200">
        <f t="shared" si="289"/>
        <v>0</v>
      </c>
      <c r="GV74" s="201">
        <f t="shared" ca="1" si="763"/>
        <v>0</v>
      </c>
      <c r="GW74" s="200">
        <f t="shared" si="291"/>
        <v>0</v>
      </c>
      <c r="GX74" s="201" cm="1">
        <f t="array" ref="GX74">IF(LEFT($AG74,3)="Res",IF(OR($DW74&gt;External_Threshold,$DM74&gt;0),1*Uplift*AWE*(External),0),0)</f>
        <v>0</v>
      </c>
      <c r="GY74" s="200">
        <f t="shared" si="292"/>
        <v>0</v>
      </c>
      <c r="GZ74" s="201">
        <f t="shared" si="764"/>
        <v>0</v>
      </c>
      <c r="HA74" s="203">
        <f t="shared" si="347"/>
        <v>0</v>
      </c>
      <c r="HB74" s="54"/>
      <c r="HC74" s="54"/>
      <c r="HD74" s="54"/>
      <c r="HE74" s="54"/>
      <c r="HF74" s="54"/>
      <c r="HG74" s="201">
        <f t="shared" ca="1" si="348"/>
        <v>167247.30827563338</v>
      </c>
      <c r="HH74" s="201">
        <f t="shared" ca="1" si="349"/>
        <v>0</v>
      </c>
      <c r="HI74" s="201">
        <f t="shared" ca="1" si="350"/>
        <v>0</v>
      </c>
      <c r="HJ74" s="201">
        <f t="shared" ca="1" si="351"/>
        <v>0</v>
      </c>
      <c r="HK74" s="201">
        <f t="shared" ca="1" si="352"/>
        <v>0</v>
      </c>
      <c r="HL74" s="201">
        <f t="shared" ca="1" si="353"/>
        <v>0</v>
      </c>
      <c r="HM74" s="201">
        <f t="shared" ca="1" si="354"/>
        <v>0</v>
      </c>
      <c r="HN74" s="201">
        <f t="shared" ca="1" si="355"/>
        <v>0</v>
      </c>
      <c r="HO74" s="201">
        <f t="shared" ca="1" si="356"/>
        <v>0</v>
      </c>
      <c r="HP74" s="201">
        <f t="shared" ca="1" si="357"/>
        <v>0</v>
      </c>
      <c r="HQ74" s="54"/>
    </row>
    <row r="75" spans="1:225" x14ac:dyDescent="0.3">
      <c r="A75" s="513">
        <v>57</v>
      </c>
      <c r="B75" s="514" t="s">
        <v>480</v>
      </c>
      <c r="C75" s="514" t="s">
        <v>390</v>
      </c>
      <c r="D75" s="514" t="s">
        <v>390</v>
      </c>
      <c r="E75" s="513">
        <v>1</v>
      </c>
      <c r="F75" s="515">
        <v>7.51</v>
      </c>
      <c r="G75" s="515">
        <v>6.92</v>
      </c>
      <c r="H75" s="513">
        <v>1</v>
      </c>
      <c r="I75" s="517">
        <v>1</v>
      </c>
      <c r="J75" s="518" t="s">
        <v>44</v>
      </c>
      <c r="K75" s="513">
        <f t="shared" si="724"/>
        <v>240</v>
      </c>
      <c r="L75" s="519">
        <v>7.74</v>
      </c>
      <c r="M75" s="519">
        <v>6.5299999999999994</v>
      </c>
      <c r="N75" s="519">
        <v>6.2299999999999995</v>
      </c>
      <c r="O75" s="519">
        <v>5.93</v>
      </c>
      <c r="P75" s="519">
        <v>5.47</v>
      </c>
      <c r="Q75" s="519">
        <v>5</v>
      </c>
      <c r="R75" s="519">
        <v>4.2</v>
      </c>
      <c r="S75" s="519">
        <v>0</v>
      </c>
      <c r="T75" s="519">
        <v>0</v>
      </c>
      <c r="U75" s="519">
        <v>0</v>
      </c>
      <c r="V75" s="536"/>
      <c r="W75" s="536"/>
      <c r="X75" s="536"/>
      <c r="Y75" s="536"/>
      <c r="Z75" s="536"/>
      <c r="AA75" s="536"/>
      <c r="AB75" s="536"/>
      <c r="AC75" s="536"/>
      <c r="AD75" s="536"/>
      <c r="AE75" s="536"/>
      <c r="AF75" s="54"/>
      <c r="AG75" s="204" t="str">
        <f t="shared" si="465"/>
        <v>Res1</v>
      </c>
      <c r="AH75" s="204">
        <f t="shared" si="294"/>
        <v>6</v>
      </c>
      <c r="AI75" s="204">
        <f t="shared" si="725"/>
        <v>1</v>
      </c>
      <c r="AJ75" s="54"/>
      <c r="AK75" s="74">
        <f>IFERROR(IF(H75&gt;4,0,AI75*Inputs!$C$55),0)</f>
        <v>2.6</v>
      </c>
      <c r="AL75" s="81">
        <f>IFERROR(Inputs!$C$73,0)</f>
        <v>5</v>
      </c>
      <c r="AM75" s="211">
        <f>IFERROR(Inputs!$C$74,0)</f>
        <v>0.24299999999999999</v>
      </c>
      <c r="AN75" s="446">
        <f>IFERROR(HLOOKUP(HLOOKUP(AN$17,$V$18:$AE75,COUNTA($AK$18:$AK75),FALSE),Inputs!$B$58:$H$59,2,FALSE),0)</f>
        <v>0</v>
      </c>
      <c r="AO75" s="447">
        <f t="shared" si="295"/>
        <v>0</v>
      </c>
      <c r="AP75" s="447">
        <f t="shared" si="296"/>
        <v>0</v>
      </c>
      <c r="AQ75" s="446">
        <f>IFERROR(HLOOKUP(HLOOKUP(AQ$17,$V$18:$AE75,COUNTA($AK$18:$AK75),FALSE),Inputs!$B$58:$H$59,2,FALSE),0)</f>
        <v>0</v>
      </c>
      <c r="AR75" s="447">
        <f t="shared" ref="AR75" si="972">2*$AK75*AQ75*$AL75/100*$AM75</f>
        <v>0</v>
      </c>
      <c r="AS75" s="447">
        <f t="shared" si="298"/>
        <v>0</v>
      </c>
      <c r="AT75" s="446">
        <f>IFERROR(HLOOKUP(HLOOKUP(AT$17,$V$18:$AE75,COUNTA($AK$18:$AK75),FALSE),Inputs!$B$58:$H$59,2,FALSE),0)</f>
        <v>0</v>
      </c>
      <c r="AU75" s="447">
        <f t="shared" ref="AU75" si="973">2*$AK75*AT75*$AL75/100*$AM75</f>
        <v>0</v>
      </c>
      <c r="AV75" s="447">
        <f t="shared" si="300"/>
        <v>0</v>
      </c>
      <c r="AW75" s="446">
        <f>IFERROR(HLOOKUP(HLOOKUP(AW$17,$V$18:$AE75,COUNTA($AK$18:$AK75),FALSE),Inputs!$B$58:$H$59,2,FALSE),0)</f>
        <v>0</v>
      </c>
      <c r="AX75" s="447">
        <f t="shared" ref="AX75" si="974">2*$AK75*AW75*$AL75/100*$AM75</f>
        <v>0</v>
      </c>
      <c r="AY75" s="447">
        <f t="shared" si="302"/>
        <v>0</v>
      </c>
      <c r="AZ75" s="446">
        <f>IFERROR(HLOOKUP(HLOOKUP(AZ$17,$V$18:$AE75,COUNTA($AK$18:$AK75),FALSE),Inputs!$B$58:$H$59,2,FALSE),0)</f>
        <v>0</v>
      </c>
      <c r="BA75" s="447">
        <f t="shared" ref="BA75" si="975">2*$AK75*AZ75*$AL75/100*$AM75</f>
        <v>0</v>
      </c>
      <c r="BB75" s="447">
        <f t="shared" si="304"/>
        <v>0</v>
      </c>
      <c r="BC75" s="446">
        <f>IFERROR(HLOOKUP(HLOOKUP(BC$17,$V$18:$AE75,COUNTA($AK$18:$AK75),FALSE),Inputs!$B$58:$H$59,2,FALSE),0)</f>
        <v>0</v>
      </c>
      <c r="BD75" s="447">
        <f t="shared" ref="BD75" si="976">2*$AK75*BC75*$AL75/100*$AM75</f>
        <v>0</v>
      </c>
      <c r="BE75" s="447">
        <f t="shared" si="306"/>
        <v>0</v>
      </c>
      <c r="BF75" s="446">
        <f>IFERROR(HLOOKUP(HLOOKUP(BF$17,$V$18:$AE75,COUNTA($AK$18:$AK75),FALSE),Inputs!$B$58:$H$59,2,FALSE),0)</f>
        <v>0</v>
      </c>
      <c r="BG75" s="447">
        <f t="shared" ref="BG75" si="977">2*$AK75*BF75*$AL75/100*$AM75</f>
        <v>0</v>
      </c>
      <c r="BH75" s="447">
        <f t="shared" si="308"/>
        <v>0</v>
      </c>
      <c r="BI75" s="446">
        <f>IFERROR(HLOOKUP(HLOOKUP(BI$17,$V$18:$AE75,COUNTA($AK$18:$AK75),FALSE),Inputs!$B$58:$H$59,2,FALSE),0)</f>
        <v>0</v>
      </c>
      <c r="BJ75" s="447">
        <f t="shared" ref="BJ75" si="978">2*$AK75*BI75*$AL75/100*$AM75</f>
        <v>0</v>
      </c>
      <c r="BK75" s="447">
        <f t="shared" si="310"/>
        <v>0</v>
      </c>
      <c r="BL75" s="446">
        <f>IFERROR(HLOOKUP(HLOOKUP(BL$17,$V$18:$AE75,COUNTA($AK$18:$AK75),FALSE),Inputs!$B$58:$H$59,2,FALSE),0)</f>
        <v>0</v>
      </c>
      <c r="BM75" s="447">
        <f t="shared" ref="BM75" si="979">2*$AK75*BL75*$AL75/100*$AM75</f>
        <v>0</v>
      </c>
      <c r="BN75" s="447">
        <f t="shared" si="312"/>
        <v>0</v>
      </c>
      <c r="BO75" s="446">
        <f>IFERROR(HLOOKUP(HLOOKUP(BO$17,$V$18:$AE75,COUNTA($AK$18:$AK75),FALSE),Inputs!$B$58:$H$59,2,FALSE),0)</f>
        <v>0</v>
      </c>
      <c r="BP75" s="447">
        <f t="shared" ref="BP75" si="980">2*$AK75*BO75*$AL75/100*$AM75</f>
        <v>0</v>
      </c>
      <c r="BQ75" s="447">
        <f t="shared" si="314"/>
        <v>0</v>
      </c>
      <c r="BR75" s="54"/>
      <c r="BS75" s="103">
        <f t="shared" ca="1" si="735"/>
        <v>106.01395373251329</v>
      </c>
      <c r="BT75" s="103">
        <f t="shared" ca="1" si="396"/>
        <v>58.605376177378581</v>
      </c>
      <c r="BU75" s="103">
        <f t="shared" si="397"/>
        <v>15.403780752532562</v>
      </c>
      <c r="BV75" s="103">
        <f t="shared" si="398"/>
        <v>0</v>
      </c>
      <c r="BW75" s="152">
        <f t="shared" ca="1" si="399"/>
        <v>180.02311066242441</v>
      </c>
      <c r="BX75" s="441"/>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188">
        <f t="shared" si="315"/>
        <v>0.23000000000000043</v>
      </c>
      <c r="DE75" s="188">
        <f t="shared" si="316"/>
        <v>-0.3</v>
      </c>
      <c r="DF75" s="188">
        <f t="shared" si="317"/>
        <v>-0.3</v>
      </c>
      <c r="DG75" s="188">
        <f t="shared" si="318"/>
        <v>-0.3</v>
      </c>
      <c r="DH75" s="188">
        <f t="shared" si="319"/>
        <v>-0.3</v>
      </c>
      <c r="DI75" s="188">
        <f t="shared" si="320"/>
        <v>-0.3</v>
      </c>
      <c r="DJ75" s="188">
        <f t="shared" si="321"/>
        <v>-0.3</v>
      </c>
      <c r="DK75" s="188">
        <f t="shared" si="322"/>
        <v>-0.3</v>
      </c>
      <c r="DL75" s="188">
        <f t="shared" si="323"/>
        <v>-0.3</v>
      </c>
      <c r="DM75" s="188">
        <f t="shared" si="324"/>
        <v>-0.3</v>
      </c>
      <c r="DN75" s="189">
        <f t="shared" si="325"/>
        <v>0.82000000000000028</v>
      </c>
      <c r="DO75" s="189">
        <f t="shared" si="326"/>
        <v>0</v>
      </c>
      <c r="DP75" s="189">
        <f t="shared" si="327"/>
        <v>0</v>
      </c>
      <c r="DQ75" s="189">
        <f t="shared" si="328"/>
        <v>0</v>
      </c>
      <c r="DR75" s="189">
        <f t="shared" si="329"/>
        <v>0</v>
      </c>
      <c r="DS75" s="189">
        <f t="shared" si="330"/>
        <v>0</v>
      </c>
      <c r="DT75" s="189">
        <f t="shared" si="331"/>
        <v>0</v>
      </c>
      <c r="DU75" s="189">
        <f t="shared" si="332"/>
        <v>0</v>
      </c>
      <c r="DV75" s="189">
        <f t="shared" si="333"/>
        <v>0</v>
      </c>
      <c r="DW75" s="189">
        <f t="shared" si="334"/>
        <v>0</v>
      </c>
      <c r="DX75" s="54"/>
      <c r="DY75" s="54"/>
      <c r="DZ75" s="199">
        <f t="shared" ca="1" si="736"/>
        <v>106546.68716835506</v>
      </c>
      <c r="EA75" s="200">
        <f t="shared" si="335"/>
        <v>1</v>
      </c>
      <c r="EB75" s="201">
        <f t="shared" ca="1" si="737"/>
        <v>58899.875555154351</v>
      </c>
      <c r="EC75" s="200">
        <f t="shared" si="336"/>
        <v>1</v>
      </c>
      <c r="ED75" s="201" cm="1">
        <f t="array" ref="ED75">IF(LEFT($AG75,3)="Res",IF(OR($DN75&gt;External_Threshold,$DD75&gt;0),1*Uplift*AWE*(External),0),0)</f>
        <v>15481.186685962373</v>
      </c>
      <c r="EE75" s="200">
        <f t="shared" si="337"/>
        <v>1</v>
      </c>
      <c r="EF75" s="201">
        <f t="shared" si="738"/>
        <v>0</v>
      </c>
      <c r="EG75" s="203">
        <f t="shared" si="338"/>
        <v>0</v>
      </c>
      <c r="EH75" s="199">
        <f t="shared" ca="1" si="739"/>
        <v>0</v>
      </c>
      <c r="EI75" s="200">
        <f t="shared" si="241"/>
        <v>0</v>
      </c>
      <c r="EJ75" s="201">
        <f t="shared" ca="1" si="740"/>
        <v>0</v>
      </c>
      <c r="EK75" s="200">
        <f t="shared" si="243"/>
        <v>0</v>
      </c>
      <c r="EL75" s="201" cm="1">
        <f t="array" ref="EL75">IF(LEFT($AG75,3)="Res",IF(OR($DO75&gt;External_Threshold,$DE75&gt;0),1*Uplift*AWE*(External),0),0)</f>
        <v>0</v>
      </c>
      <c r="EM75" s="200">
        <f t="shared" si="244"/>
        <v>0</v>
      </c>
      <c r="EN75" s="201">
        <f t="shared" si="741"/>
        <v>0</v>
      </c>
      <c r="EO75" s="203">
        <f t="shared" si="339"/>
        <v>0</v>
      </c>
      <c r="EP75" s="199">
        <f t="shared" ca="1" si="742"/>
        <v>0</v>
      </c>
      <c r="EQ75" s="200">
        <f t="shared" si="247"/>
        <v>0</v>
      </c>
      <c r="ER75" s="201">
        <f t="shared" ca="1" si="743"/>
        <v>0</v>
      </c>
      <c r="ES75" s="200">
        <f t="shared" si="249"/>
        <v>0</v>
      </c>
      <c r="ET75" s="201" cm="1">
        <f t="array" ref="ET75">IF(LEFT($AG75,3)="Res",IF(OR($DP75&gt;External_Threshold,$DF75&gt;0),1*Uplift*AWE*(External),0),0)</f>
        <v>0</v>
      </c>
      <c r="EU75" s="200">
        <f t="shared" si="250"/>
        <v>0</v>
      </c>
      <c r="EV75" s="201">
        <f t="shared" si="744"/>
        <v>0</v>
      </c>
      <c r="EW75" s="203">
        <f t="shared" si="340"/>
        <v>0</v>
      </c>
      <c r="EX75" s="199">
        <f t="shared" ca="1" si="745"/>
        <v>0</v>
      </c>
      <c r="EY75" s="200">
        <f t="shared" si="253"/>
        <v>0</v>
      </c>
      <c r="EZ75" s="201">
        <f t="shared" ca="1" si="746"/>
        <v>0</v>
      </c>
      <c r="FA75" s="200">
        <f t="shared" si="255"/>
        <v>0</v>
      </c>
      <c r="FB75" s="201" cm="1">
        <f t="array" ref="FB75">IF(LEFT($AG75,3)="Res",IF(OR($DQ75&gt;External_Threshold,$DG75&gt;0),1*Uplift*AWE*(External),0),0)</f>
        <v>0</v>
      </c>
      <c r="FC75" s="200">
        <f t="shared" si="256"/>
        <v>0</v>
      </c>
      <c r="FD75" s="201">
        <f t="shared" si="257"/>
        <v>0</v>
      </c>
      <c r="FE75" s="203">
        <f t="shared" si="341"/>
        <v>0</v>
      </c>
      <c r="FF75" s="199">
        <f t="shared" ca="1" si="747"/>
        <v>0</v>
      </c>
      <c r="FG75" s="200">
        <f t="shared" si="259"/>
        <v>0</v>
      </c>
      <c r="FH75" s="201">
        <f t="shared" ca="1" si="748"/>
        <v>0</v>
      </c>
      <c r="FI75" s="200">
        <f t="shared" si="261"/>
        <v>0</v>
      </c>
      <c r="FJ75" s="201" cm="1">
        <f t="array" ref="FJ75">IF(LEFT($AG75,3)="Res",IF(OR($DR75&gt;External_Threshold,$DH75&gt;0),1*Uplift*AWE*(External),0),0)</f>
        <v>0</v>
      </c>
      <c r="FK75" s="200">
        <f t="shared" si="262"/>
        <v>0</v>
      </c>
      <c r="FL75" s="201">
        <f t="shared" si="749"/>
        <v>0</v>
      </c>
      <c r="FM75" s="203">
        <f t="shared" si="342"/>
        <v>0</v>
      </c>
      <c r="FN75" s="199">
        <f t="shared" ca="1" si="750"/>
        <v>0</v>
      </c>
      <c r="FO75" s="200">
        <f t="shared" si="265"/>
        <v>0</v>
      </c>
      <c r="FP75" s="201">
        <f t="shared" ca="1" si="751"/>
        <v>0</v>
      </c>
      <c r="FQ75" s="200">
        <f t="shared" si="267"/>
        <v>0</v>
      </c>
      <c r="FR75" s="201" cm="1">
        <f t="array" ref="FR75">IF(LEFT($AG75,3)="Res",IF(OR($DS75&gt;External_Threshold,$DI75&gt;0),1*Uplift*AWE*(External),0),0)</f>
        <v>0</v>
      </c>
      <c r="FS75" s="200">
        <f t="shared" si="268"/>
        <v>0</v>
      </c>
      <c r="FT75" s="201">
        <f t="shared" si="752"/>
        <v>0</v>
      </c>
      <c r="FU75" s="203">
        <f t="shared" si="343"/>
        <v>0</v>
      </c>
      <c r="FV75" s="199">
        <f t="shared" ca="1" si="753"/>
        <v>0</v>
      </c>
      <c r="FW75" s="200">
        <f t="shared" si="271"/>
        <v>0</v>
      </c>
      <c r="FX75" s="201">
        <f t="shared" ca="1" si="754"/>
        <v>0</v>
      </c>
      <c r="FY75" s="200">
        <f t="shared" si="273"/>
        <v>0</v>
      </c>
      <c r="FZ75" s="201" cm="1">
        <f t="array" ref="FZ75">IF(LEFT($AG75,3)="Res",IF(OR($DT75&gt;External_Threshold,$DJ75&gt;0),1*Uplift*AWE*(External),0),0)</f>
        <v>0</v>
      </c>
      <c r="GA75" s="200">
        <f t="shared" si="274"/>
        <v>0</v>
      </c>
      <c r="GB75" s="201">
        <f t="shared" si="755"/>
        <v>0</v>
      </c>
      <c r="GC75" s="203">
        <f t="shared" si="344"/>
        <v>0</v>
      </c>
      <c r="GD75" s="199">
        <f t="shared" ca="1" si="756"/>
        <v>0</v>
      </c>
      <c r="GE75" s="200">
        <f t="shared" si="277"/>
        <v>0</v>
      </c>
      <c r="GF75" s="201">
        <f t="shared" ca="1" si="757"/>
        <v>0</v>
      </c>
      <c r="GG75" s="200">
        <f t="shared" si="279"/>
        <v>0</v>
      </c>
      <c r="GH75" s="201" cm="1">
        <f t="array" ref="GH75">IF(LEFT($AG75,3)="Res",IF(OR($DU75&gt;External_Threshold,$DK75&gt;0),1*Uplift*AWE*(External),0),0)</f>
        <v>0</v>
      </c>
      <c r="GI75" s="200">
        <f t="shared" si="280"/>
        <v>0</v>
      </c>
      <c r="GJ75" s="201">
        <f t="shared" si="758"/>
        <v>0</v>
      </c>
      <c r="GK75" s="203">
        <f t="shared" si="345"/>
        <v>0</v>
      </c>
      <c r="GL75" s="199">
        <f t="shared" ca="1" si="759"/>
        <v>0</v>
      </c>
      <c r="GM75" s="200">
        <f t="shared" si="283"/>
        <v>0</v>
      </c>
      <c r="GN75" s="201">
        <f t="shared" ca="1" si="760"/>
        <v>0</v>
      </c>
      <c r="GO75" s="200">
        <f t="shared" si="285"/>
        <v>0</v>
      </c>
      <c r="GP75" s="201" cm="1">
        <f t="array" ref="GP75">IF(LEFT($AG75,3)="Res",IF(OR($DV75&gt;External_Threshold,$DL75&gt;0),1*Uplift*AWE*(External),0),0)</f>
        <v>0</v>
      </c>
      <c r="GQ75" s="200">
        <f t="shared" si="286"/>
        <v>0</v>
      </c>
      <c r="GR75" s="201">
        <f t="shared" si="761"/>
        <v>0</v>
      </c>
      <c r="GS75" s="203">
        <f t="shared" si="346"/>
        <v>0</v>
      </c>
      <c r="GT75" s="199">
        <f t="shared" ca="1" si="762"/>
        <v>0</v>
      </c>
      <c r="GU75" s="200">
        <f t="shared" si="289"/>
        <v>0</v>
      </c>
      <c r="GV75" s="201">
        <f t="shared" ca="1" si="763"/>
        <v>0</v>
      </c>
      <c r="GW75" s="200">
        <f t="shared" si="291"/>
        <v>0</v>
      </c>
      <c r="GX75" s="201" cm="1">
        <f t="array" ref="GX75">IF(LEFT($AG75,3)="Res",IF(OR($DW75&gt;External_Threshold,$DM75&gt;0),1*Uplift*AWE*(External),0),0)</f>
        <v>0</v>
      </c>
      <c r="GY75" s="200">
        <f t="shared" si="292"/>
        <v>0</v>
      </c>
      <c r="GZ75" s="201">
        <f t="shared" si="764"/>
        <v>0</v>
      </c>
      <c r="HA75" s="203">
        <f t="shared" si="347"/>
        <v>0</v>
      </c>
      <c r="HB75" s="54"/>
      <c r="HC75" s="54"/>
      <c r="HD75" s="54"/>
      <c r="HE75" s="54"/>
      <c r="HF75" s="54"/>
      <c r="HG75" s="201">
        <f t="shared" ca="1" si="348"/>
        <v>180927.74940947178</v>
      </c>
      <c r="HH75" s="201">
        <f t="shared" ca="1" si="349"/>
        <v>0</v>
      </c>
      <c r="HI75" s="201">
        <f t="shared" ca="1" si="350"/>
        <v>0</v>
      </c>
      <c r="HJ75" s="201">
        <f t="shared" ca="1" si="351"/>
        <v>0</v>
      </c>
      <c r="HK75" s="201">
        <f t="shared" ca="1" si="352"/>
        <v>0</v>
      </c>
      <c r="HL75" s="201">
        <f t="shared" ca="1" si="353"/>
        <v>0</v>
      </c>
      <c r="HM75" s="201">
        <f t="shared" ca="1" si="354"/>
        <v>0</v>
      </c>
      <c r="HN75" s="201">
        <f t="shared" ca="1" si="355"/>
        <v>0</v>
      </c>
      <c r="HO75" s="201">
        <f t="shared" ca="1" si="356"/>
        <v>0</v>
      </c>
      <c r="HP75" s="201">
        <f t="shared" ca="1" si="357"/>
        <v>0</v>
      </c>
      <c r="HQ75" s="54"/>
    </row>
    <row r="76" spans="1:225" x14ac:dyDescent="0.3">
      <c r="A76" s="513">
        <v>58</v>
      </c>
      <c r="B76" s="514" t="s">
        <v>481</v>
      </c>
      <c r="C76" s="514" t="s">
        <v>390</v>
      </c>
      <c r="D76" s="514" t="s">
        <v>390</v>
      </c>
      <c r="E76" s="513">
        <v>1</v>
      </c>
      <c r="F76" s="515">
        <v>5.6</v>
      </c>
      <c r="G76" s="515">
        <v>5.0199999999999996</v>
      </c>
      <c r="H76" s="513">
        <v>1</v>
      </c>
      <c r="I76" s="517">
        <v>1</v>
      </c>
      <c r="J76" s="518" t="s">
        <v>295</v>
      </c>
      <c r="K76" s="513">
        <f t="shared" si="724"/>
        <v>220</v>
      </c>
      <c r="L76" s="519">
        <v>7.74</v>
      </c>
      <c r="M76" s="519">
        <v>6.6199999999999992</v>
      </c>
      <c r="N76" s="519">
        <v>6.3199999999999994</v>
      </c>
      <c r="O76" s="519">
        <v>6.02</v>
      </c>
      <c r="P76" s="519">
        <v>5.47</v>
      </c>
      <c r="Q76" s="519">
        <v>5</v>
      </c>
      <c r="R76" s="519">
        <v>4.2</v>
      </c>
      <c r="S76" s="519">
        <v>0</v>
      </c>
      <c r="T76" s="519">
        <v>0</v>
      </c>
      <c r="U76" s="519">
        <v>0</v>
      </c>
      <c r="V76" s="536"/>
      <c r="W76" s="536"/>
      <c r="X76" s="536"/>
      <c r="Y76" s="536"/>
      <c r="Z76" s="536"/>
      <c r="AA76" s="536"/>
      <c r="AB76" s="536"/>
      <c r="AC76" s="536"/>
      <c r="AD76" s="536"/>
      <c r="AE76" s="536"/>
      <c r="AF76" s="54"/>
      <c r="AG76" s="204" t="str">
        <f t="shared" si="465"/>
        <v>Res1</v>
      </c>
      <c r="AH76" s="204">
        <f t="shared" si="294"/>
        <v>6</v>
      </c>
      <c r="AI76" s="204">
        <f t="shared" si="725"/>
        <v>1</v>
      </c>
      <c r="AJ76" s="54"/>
      <c r="AK76" s="74">
        <f>IFERROR(IF(H76&gt;4,0,AI76*Inputs!$C$55),0)</f>
        <v>2.6</v>
      </c>
      <c r="AL76" s="81">
        <f>IFERROR(Inputs!$C$73,0)</f>
        <v>5</v>
      </c>
      <c r="AM76" s="211">
        <f>IFERROR(Inputs!$C$74,0)</f>
        <v>0.24299999999999999</v>
      </c>
      <c r="AN76" s="446">
        <f>IFERROR(HLOOKUP(HLOOKUP(AN$17,$V$18:$AE76,COUNTA($AK$18:$AK76),FALSE),Inputs!$B$58:$H$59,2,FALSE),0)</f>
        <v>0</v>
      </c>
      <c r="AO76" s="447">
        <f t="shared" si="295"/>
        <v>0</v>
      </c>
      <c r="AP76" s="447">
        <f t="shared" si="296"/>
        <v>0</v>
      </c>
      <c r="AQ76" s="446">
        <f>IFERROR(HLOOKUP(HLOOKUP(AQ$17,$V$18:$AE76,COUNTA($AK$18:$AK76),FALSE),Inputs!$B$58:$H$59,2,FALSE),0)</f>
        <v>0</v>
      </c>
      <c r="AR76" s="447">
        <f t="shared" ref="AR76" si="981">2*$AK76*AQ76*$AL76/100*$AM76</f>
        <v>0</v>
      </c>
      <c r="AS76" s="447">
        <f t="shared" si="298"/>
        <v>0</v>
      </c>
      <c r="AT76" s="446">
        <f>IFERROR(HLOOKUP(HLOOKUP(AT$17,$V$18:$AE76,COUNTA($AK$18:$AK76),FALSE),Inputs!$B$58:$H$59,2,FALSE),0)</f>
        <v>0</v>
      </c>
      <c r="AU76" s="447">
        <f t="shared" ref="AU76" si="982">2*$AK76*AT76*$AL76/100*$AM76</f>
        <v>0</v>
      </c>
      <c r="AV76" s="447">
        <f t="shared" si="300"/>
        <v>0</v>
      </c>
      <c r="AW76" s="446">
        <f>IFERROR(HLOOKUP(HLOOKUP(AW$17,$V$18:$AE76,COUNTA($AK$18:$AK76),FALSE),Inputs!$B$58:$H$59,2,FALSE),0)</f>
        <v>0</v>
      </c>
      <c r="AX76" s="447">
        <f t="shared" ref="AX76" si="983">2*$AK76*AW76*$AL76/100*$AM76</f>
        <v>0</v>
      </c>
      <c r="AY76" s="447">
        <f t="shared" si="302"/>
        <v>0</v>
      </c>
      <c r="AZ76" s="446">
        <f>IFERROR(HLOOKUP(HLOOKUP(AZ$17,$V$18:$AE76,COUNTA($AK$18:$AK76),FALSE),Inputs!$B$58:$H$59,2,FALSE),0)</f>
        <v>0</v>
      </c>
      <c r="BA76" s="447">
        <f t="shared" ref="BA76" si="984">2*$AK76*AZ76*$AL76/100*$AM76</f>
        <v>0</v>
      </c>
      <c r="BB76" s="447">
        <f t="shared" si="304"/>
        <v>0</v>
      </c>
      <c r="BC76" s="446">
        <f>IFERROR(HLOOKUP(HLOOKUP(BC$17,$V$18:$AE76,COUNTA($AK$18:$AK76),FALSE),Inputs!$B$58:$H$59,2,FALSE),0)</f>
        <v>0</v>
      </c>
      <c r="BD76" s="447">
        <f t="shared" ref="BD76" si="985">2*$AK76*BC76*$AL76/100*$AM76</f>
        <v>0</v>
      </c>
      <c r="BE76" s="447">
        <f t="shared" si="306"/>
        <v>0</v>
      </c>
      <c r="BF76" s="446">
        <f>IFERROR(HLOOKUP(HLOOKUP(BF$17,$V$18:$AE76,COUNTA($AK$18:$AK76),FALSE),Inputs!$B$58:$H$59,2,FALSE),0)</f>
        <v>0</v>
      </c>
      <c r="BG76" s="447">
        <f t="shared" ref="BG76" si="986">2*$AK76*BF76*$AL76/100*$AM76</f>
        <v>0</v>
      </c>
      <c r="BH76" s="447">
        <f t="shared" si="308"/>
        <v>0</v>
      </c>
      <c r="BI76" s="446">
        <f>IFERROR(HLOOKUP(HLOOKUP(BI$17,$V$18:$AE76,COUNTA($AK$18:$AK76),FALSE),Inputs!$B$58:$H$59,2,FALSE),0)</f>
        <v>0</v>
      </c>
      <c r="BJ76" s="447">
        <f t="shared" ref="BJ76" si="987">2*$AK76*BI76*$AL76/100*$AM76</f>
        <v>0</v>
      </c>
      <c r="BK76" s="447">
        <f t="shared" si="310"/>
        <v>0</v>
      </c>
      <c r="BL76" s="446">
        <f>IFERROR(HLOOKUP(HLOOKUP(BL$17,$V$18:$AE76,COUNTA($AK$18:$AK76),FALSE),Inputs!$B$58:$H$59,2,FALSE),0)</f>
        <v>0</v>
      </c>
      <c r="BM76" s="447">
        <f t="shared" ref="BM76" si="988">2*$AK76*BL76*$AL76/100*$AM76</f>
        <v>0</v>
      </c>
      <c r="BN76" s="447">
        <f t="shared" si="312"/>
        <v>0</v>
      </c>
      <c r="BO76" s="446">
        <f>IFERROR(HLOOKUP(HLOOKUP(BO$17,$V$18:$AE76,COUNTA($AK$18:$AK76),FALSE),Inputs!$B$58:$H$59,2,FALSE),0)</f>
        <v>0</v>
      </c>
      <c r="BP76" s="447">
        <f t="shared" ref="BP76" si="989">2*$AK76*BO76*$AL76/100*$AM76</f>
        <v>0</v>
      </c>
      <c r="BQ76" s="447">
        <f t="shared" si="314"/>
        <v>0</v>
      </c>
      <c r="BR76" s="54"/>
      <c r="BS76" s="103">
        <f t="shared" ca="1" si="735"/>
        <v>1805.3472754896284</v>
      </c>
      <c r="BT76" s="103">
        <f t="shared" ca="1" si="396"/>
        <v>1291.3316132864243</v>
      </c>
      <c r="BU76" s="103">
        <f t="shared" si="397"/>
        <v>541.68672214182345</v>
      </c>
      <c r="BV76" s="103">
        <f t="shared" si="398"/>
        <v>0</v>
      </c>
      <c r="BW76" s="152">
        <f t="shared" ca="1" si="399"/>
        <v>3638.365610917876</v>
      </c>
      <c r="BX76" s="441"/>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188">
        <f t="shared" si="315"/>
        <v>2.1400000000000006</v>
      </c>
      <c r="DE76" s="188">
        <f t="shared" si="316"/>
        <v>1.0199999999999996</v>
      </c>
      <c r="DF76" s="188">
        <f t="shared" si="317"/>
        <v>0.71999999999999975</v>
      </c>
      <c r="DG76" s="188">
        <f t="shared" si="318"/>
        <v>0.41999999999999993</v>
      </c>
      <c r="DH76" s="188">
        <f t="shared" si="319"/>
        <v>-0.12999999999999989</v>
      </c>
      <c r="DI76" s="188">
        <f t="shared" si="320"/>
        <v>-0.3</v>
      </c>
      <c r="DJ76" s="188">
        <f t="shared" si="321"/>
        <v>-0.3</v>
      </c>
      <c r="DK76" s="188">
        <f t="shared" si="322"/>
        <v>-0.3</v>
      </c>
      <c r="DL76" s="188">
        <f t="shared" si="323"/>
        <v>-0.3</v>
      </c>
      <c r="DM76" s="188">
        <f t="shared" si="324"/>
        <v>-0.3</v>
      </c>
      <c r="DN76" s="189">
        <f t="shared" si="325"/>
        <v>2.7200000000000006</v>
      </c>
      <c r="DO76" s="189">
        <f t="shared" si="326"/>
        <v>1.5999999999999996</v>
      </c>
      <c r="DP76" s="189">
        <f t="shared" si="327"/>
        <v>1.2999999999999998</v>
      </c>
      <c r="DQ76" s="189">
        <f t="shared" si="328"/>
        <v>1</v>
      </c>
      <c r="DR76" s="189">
        <f t="shared" si="329"/>
        <v>0.45000000000000018</v>
      </c>
      <c r="DS76" s="189">
        <f t="shared" si="330"/>
        <v>0</v>
      </c>
      <c r="DT76" s="189">
        <f t="shared" si="331"/>
        <v>0</v>
      </c>
      <c r="DU76" s="189">
        <f t="shared" si="332"/>
        <v>0</v>
      </c>
      <c r="DV76" s="189">
        <f t="shared" si="333"/>
        <v>0</v>
      </c>
      <c r="DW76" s="189">
        <f t="shared" si="334"/>
        <v>0</v>
      </c>
      <c r="DX76" s="54"/>
      <c r="DY76" s="54"/>
      <c r="DZ76" s="199">
        <f t="shared" ca="1" si="736"/>
        <v>164117.09213699953</v>
      </c>
      <c r="EA76" s="200">
        <f t="shared" si="335"/>
        <v>1</v>
      </c>
      <c r="EB76" s="201">
        <f t="shared" ca="1" si="737"/>
        <v>127179.81907194747</v>
      </c>
      <c r="EC76" s="200">
        <f t="shared" si="336"/>
        <v>1</v>
      </c>
      <c r="ED76" s="201" cm="1">
        <f t="array" ref="ED76">IF(LEFT($AG76,3)="Res",IF(OR($DN76&gt;External_Threshold,$DD76&gt;0),1*Uplift*AWE*(External),0),0)</f>
        <v>15481.186685962373</v>
      </c>
      <c r="EE76" s="200">
        <f t="shared" si="337"/>
        <v>1</v>
      </c>
      <c r="EF76" s="201">
        <f t="shared" si="738"/>
        <v>0</v>
      </c>
      <c r="EG76" s="203">
        <f t="shared" si="338"/>
        <v>0</v>
      </c>
      <c r="EH76" s="199">
        <f t="shared" ca="1" si="739"/>
        <v>119205.13748191028</v>
      </c>
      <c r="EI76" s="200">
        <f t="shared" si="241"/>
        <v>1</v>
      </c>
      <c r="EJ76" s="201">
        <f t="shared" ca="1" si="740"/>
        <v>111372.73753677853</v>
      </c>
      <c r="EK76" s="200">
        <f t="shared" si="243"/>
        <v>1</v>
      </c>
      <c r="EL76" s="201" cm="1">
        <f t="array" ref="EL76">IF(LEFT($AG76,3)="Res",IF(OR($DO76&gt;External_Threshold,$DE76&gt;0),1*Uplift*AWE*(External),0),0)</f>
        <v>15481.186685962373</v>
      </c>
      <c r="EM76" s="200">
        <f t="shared" si="244"/>
        <v>1</v>
      </c>
      <c r="EN76" s="201">
        <f t="shared" si="741"/>
        <v>0</v>
      </c>
      <c r="EO76" s="203">
        <f t="shared" si="339"/>
        <v>0</v>
      </c>
      <c r="EP76" s="199">
        <f t="shared" ca="1" si="742"/>
        <v>113074.58755426918</v>
      </c>
      <c r="EQ76" s="200">
        <f t="shared" si="247"/>
        <v>1</v>
      </c>
      <c r="ER76" s="201">
        <f t="shared" ca="1" si="743"/>
        <v>89620.268244759354</v>
      </c>
      <c r="ES76" s="200">
        <f t="shared" si="249"/>
        <v>1</v>
      </c>
      <c r="ET76" s="201" cm="1">
        <f t="array" ref="ET76">IF(LEFT($AG76,3)="Res",IF(OR($DP76&gt;External_Threshold,$DF76&gt;0),1*Uplift*AWE*(External),0),0)</f>
        <v>15481.186685962373</v>
      </c>
      <c r="EU76" s="200">
        <f t="shared" si="250"/>
        <v>1</v>
      </c>
      <c r="EV76" s="201">
        <f t="shared" si="744"/>
        <v>0</v>
      </c>
      <c r="EW76" s="203">
        <f t="shared" si="340"/>
        <v>0</v>
      </c>
      <c r="EX76" s="199">
        <f t="shared" ca="1" si="745"/>
        <v>108987.5542691751</v>
      </c>
      <c r="EY76" s="200">
        <f t="shared" si="253"/>
        <v>1</v>
      </c>
      <c r="EZ76" s="201">
        <f t="shared" ca="1" si="746"/>
        <v>70457.552023538243</v>
      </c>
      <c r="FA76" s="200">
        <f t="shared" si="255"/>
        <v>1</v>
      </c>
      <c r="FB76" s="201" cm="1">
        <f t="array" ref="FB76">IF(LEFT($AG76,3)="Res",IF(OR($DQ76&gt;External_Threshold,$DG76&gt;0),1*Uplift*AWE*(External),0),0)</f>
        <v>15481.186685962373</v>
      </c>
      <c r="FC76" s="200">
        <f t="shared" si="256"/>
        <v>1</v>
      </c>
      <c r="FD76" s="201">
        <f t="shared" si="257"/>
        <v>0</v>
      </c>
      <c r="FE76" s="203">
        <f t="shared" si="341"/>
        <v>0</v>
      </c>
      <c r="FF76" s="199">
        <f t="shared" ca="1" si="747"/>
        <v>3746.4471780028939</v>
      </c>
      <c r="FG76" s="200">
        <f t="shared" si="259"/>
        <v>0</v>
      </c>
      <c r="FH76" s="201">
        <f t="shared" ca="1" si="748"/>
        <v>0</v>
      </c>
      <c r="FI76" s="200">
        <f t="shared" si="261"/>
        <v>0</v>
      </c>
      <c r="FJ76" s="201" cm="1">
        <f t="array" ref="FJ76">IF(LEFT($AG76,3)="Res",IF(OR($DR76&gt;External_Threshold,$DH76&gt;0),1*Uplift*AWE*(External),0),0)</f>
        <v>15481.186685962373</v>
      </c>
      <c r="FK76" s="200">
        <f t="shared" si="262"/>
        <v>1</v>
      </c>
      <c r="FL76" s="201">
        <f t="shared" si="749"/>
        <v>0</v>
      </c>
      <c r="FM76" s="203">
        <f t="shared" si="342"/>
        <v>0</v>
      </c>
      <c r="FN76" s="199">
        <f t="shared" ca="1" si="750"/>
        <v>0</v>
      </c>
      <c r="FO76" s="200">
        <f t="shared" si="265"/>
        <v>0</v>
      </c>
      <c r="FP76" s="201">
        <f t="shared" ca="1" si="751"/>
        <v>0</v>
      </c>
      <c r="FQ76" s="200">
        <f t="shared" si="267"/>
        <v>0</v>
      </c>
      <c r="FR76" s="201" cm="1">
        <f t="array" ref="FR76">IF(LEFT($AG76,3)="Res",IF(OR($DS76&gt;External_Threshold,$DI76&gt;0),1*Uplift*AWE*(External),0),0)</f>
        <v>0</v>
      </c>
      <c r="FS76" s="200">
        <f t="shared" si="268"/>
        <v>0</v>
      </c>
      <c r="FT76" s="201">
        <f t="shared" si="752"/>
        <v>0</v>
      </c>
      <c r="FU76" s="203">
        <f t="shared" si="343"/>
        <v>0</v>
      </c>
      <c r="FV76" s="199">
        <f t="shared" ca="1" si="753"/>
        <v>0</v>
      </c>
      <c r="FW76" s="200">
        <f t="shared" si="271"/>
        <v>0</v>
      </c>
      <c r="FX76" s="201">
        <f t="shared" ca="1" si="754"/>
        <v>0</v>
      </c>
      <c r="FY76" s="200">
        <f t="shared" si="273"/>
        <v>0</v>
      </c>
      <c r="FZ76" s="201" cm="1">
        <f t="array" ref="FZ76">IF(LEFT($AG76,3)="Res",IF(OR($DT76&gt;External_Threshold,$DJ76&gt;0),1*Uplift*AWE*(External),0),0)</f>
        <v>0</v>
      </c>
      <c r="GA76" s="200">
        <f t="shared" si="274"/>
        <v>0</v>
      </c>
      <c r="GB76" s="201">
        <f t="shared" si="755"/>
        <v>0</v>
      </c>
      <c r="GC76" s="203">
        <f t="shared" si="344"/>
        <v>0</v>
      </c>
      <c r="GD76" s="199">
        <f t="shared" ca="1" si="756"/>
        <v>0</v>
      </c>
      <c r="GE76" s="200">
        <f t="shared" si="277"/>
        <v>0</v>
      </c>
      <c r="GF76" s="201">
        <f t="shared" ca="1" si="757"/>
        <v>0</v>
      </c>
      <c r="GG76" s="200">
        <f t="shared" si="279"/>
        <v>0</v>
      </c>
      <c r="GH76" s="201" cm="1">
        <f t="array" ref="GH76">IF(LEFT($AG76,3)="Res",IF(OR($DU76&gt;External_Threshold,$DK76&gt;0),1*Uplift*AWE*(External),0),0)</f>
        <v>0</v>
      </c>
      <c r="GI76" s="200">
        <f t="shared" si="280"/>
        <v>0</v>
      </c>
      <c r="GJ76" s="201">
        <f t="shared" si="758"/>
        <v>0</v>
      </c>
      <c r="GK76" s="203">
        <f t="shared" si="345"/>
        <v>0</v>
      </c>
      <c r="GL76" s="199">
        <f t="shared" ca="1" si="759"/>
        <v>0</v>
      </c>
      <c r="GM76" s="200">
        <f t="shared" si="283"/>
        <v>0</v>
      </c>
      <c r="GN76" s="201">
        <f t="shared" ca="1" si="760"/>
        <v>0</v>
      </c>
      <c r="GO76" s="200">
        <f t="shared" si="285"/>
        <v>0</v>
      </c>
      <c r="GP76" s="201" cm="1">
        <f t="array" ref="GP76">IF(LEFT($AG76,3)="Res",IF(OR($DV76&gt;External_Threshold,$DL76&gt;0),1*Uplift*AWE*(External),0),0)</f>
        <v>0</v>
      </c>
      <c r="GQ76" s="200">
        <f t="shared" si="286"/>
        <v>0</v>
      </c>
      <c r="GR76" s="201">
        <f t="shared" si="761"/>
        <v>0</v>
      </c>
      <c r="GS76" s="203">
        <f t="shared" si="346"/>
        <v>0</v>
      </c>
      <c r="GT76" s="199">
        <f t="shared" ca="1" si="762"/>
        <v>0</v>
      </c>
      <c r="GU76" s="200">
        <f t="shared" si="289"/>
        <v>0</v>
      </c>
      <c r="GV76" s="201">
        <f t="shared" ca="1" si="763"/>
        <v>0</v>
      </c>
      <c r="GW76" s="200">
        <f t="shared" si="291"/>
        <v>0</v>
      </c>
      <c r="GX76" s="201" cm="1">
        <f t="array" ref="GX76">IF(LEFT($AG76,3)="Res",IF(OR($DW76&gt;External_Threshold,$DM76&gt;0),1*Uplift*AWE*(External),0),0)</f>
        <v>0</v>
      </c>
      <c r="GY76" s="200">
        <f t="shared" si="292"/>
        <v>0</v>
      </c>
      <c r="GZ76" s="201">
        <f t="shared" si="764"/>
        <v>0</v>
      </c>
      <c r="HA76" s="203">
        <f t="shared" si="347"/>
        <v>0</v>
      </c>
      <c r="HB76" s="54"/>
      <c r="HC76" s="54"/>
      <c r="HD76" s="54"/>
      <c r="HE76" s="54"/>
      <c r="HF76" s="54"/>
      <c r="HG76" s="201">
        <f t="shared" ca="1" si="348"/>
        <v>306778.09789490938</v>
      </c>
      <c r="HH76" s="201">
        <f t="shared" ca="1" si="349"/>
        <v>246059.06170465116</v>
      </c>
      <c r="HI76" s="201">
        <f t="shared" ca="1" si="350"/>
        <v>218176.0424849909</v>
      </c>
      <c r="HJ76" s="201">
        <f t="shared" ca="1" si="351"/>
        <v>194926.29297867572</v>
      </c>
      <c r="HK76" s="201">
        <f t="shared" ca="1" si="352"/>
        <v>19227.633863965268</v>
      </c>
      <c r="HL76" s="201">
        <f t="shared" ca="1" si="353"/>
        <v>0</v>
      </c>
      <c r="HM76" s="201">
        <f t="shared" ca="1" si="354"/>
        <v>0</v>
      </c>
      <c r="HN76" s="201">
        <f t="shared" ca="1" si="355"/>
        <v>0</v>
      </c>
      <c r="HO76" s="201">
        <f t="shared" ca="1" si="356"/>
        <v>0</v>
      </c>
      <c r="HP76" s="201">
        <f t="shared" ca="1" si="357"/>
        <v>0</v>
      </c>
      <c r="HQ76" s="54"/>
    </row>
    <row r="77" spans="1:225" x14ac:dyDescent="0.3">
      <c r="A77" s="513">
        <v>59</v>
      </c>
      <c r="B77" s="514" t="s">
        <v>482</v>
      </c>
      <c r="C77" s="514" t="s">
        <v>390</v>
      </c>
      <c r="D77" s="514" t="s">
        <v>390</v>
      </c>
      <c r="E77" s="513">
        <v>1</v>
      </c>
      <c r="F77" s="515">
        <v>6.37</v>
      </c>
      <c r="G77" s="515">
        <v>5.72</v>
      </c>
      <c r="H77" s="513">
        <v>1</v>
      </c>
      <c r="I77" s="517">
        <v>1</v>
      </c>
      <c r="J77" s="518" t="s">
        <v>137</v>
      </c>
      <c r="K77" s="513">
        <f t="shared" si="724"/>
        <v>160</v>
      </c>
      <c r="L77" s="519">
        <v>7.74</v>
      </c>
      <c r="M77" s="519">
        <v>6.6199999999999992</v>
      </c>
      <c r="N77" s="519">
        <v>6.3199999999999994</v>
      </c>
      <c r="O77" s="519">
        <v>6.02</v>
      </c>
      <c r="P77" s="519">
        <v>5.47</v>
      </c>
      <c r="Q77" s="519">
        <v>5</v>
      </c>
      <c r="R77" s="519">
        <v>4.2</v>
      </c>
      <c r="S77" s="519">
        <v>0</v>
      </c>
      <c r="T77" s="519">
        <v>0</v>
      </c>
      <c r="U77" s="519">
        <v>0</v>
      </c>
      <c r="V77" s="536"/>
      <c r="W77" s="536"/>
      <c r="X77" s="536"/>
      <c r="Y77" s="536"/>
      <c r="Z77" s="536"/>
      <c r="AA77" s="536"/>
      <c r="AB77" s="536"/>
      <c r="AC77" s="536"/>
      <c r="AD77" s="536"/>
      <c r="AE77" s="536"/>
      <c r="AF77" s="54"/>
      <c r="AG77" s="204" t="str">
        <f t="shared" si="465"/>
        <v>Res1</v>
      </c>
      <c r="AH77" s="204">
        <f t="shared" si="294"/>
        <v>7</v>
      </c>
      <c r="AI77" s="204">
        <f t="shared" si="725"/>
        <v>1</v>
      </c>
      <c r="AJ77" s="54"/>
      <c r="AK77" s="74">
        <f>IFERROR(IF(H77&gt;4,0,AI77*Inputs!$C$55),0)</f>
        <v>2.6</v>
      </c>
      <c r="AL77" s="81">
        <f>IFERROR(Inputs!$C$73,0)</f>
        <v>5</v>
      </c>
      <c r="AM77" s="211">
        <f>IFERROR(Inputs!$C$74,0)</f>
        <v>0.24299999999999999</v>
      </c>
      <c r="AN77" s="446">
        <f>IFERROR(HLOOKUP(HLOOKUP(AN$17,$V$18:$AE77,COUNTA($AK$18:$AK77),FALSE),Inputs!$B$58:$H$59,2,FALSE),0)</f>
        <v>0</v>
      </c>
      <c r="AO77" s="447">
        <f t="shared" si="295"/>
        <v>0</v>
      </c>
      <c r="AP77" s="447">
        <f t="shared" si="296"/>
        <v>0</v>
      </c>
      <c r="AQ77" s="446">
        <f>IFERROR(HLOOKUP(HLOOKUP(AQ$17,$V$18:$AE77,COUNTA($AK$18:$AK77),FALSE),Inputs!$B$58:$H$59,2,FALSE),0)</f>
        <v>0</v>
      </c>
      <c r="AR77" s="447">
        <f t="shared" ref="AR77" si="990">2*$AK77*AQ77*$AL77/100*$AM77</f>
        <v>0</v>
      </c>
      <c r="AS77" s="447">
        <f t="shared" si="298"/>
        <v>0</v>
      </c>
      <c r="AT77" s="446">
        <f>IFERROR(HLOOKUP(HLOOKUP(AT$17,$V$18:$AE77,COUNTA($AK$18:$AK77),FALSE),Inputs!$B$58:$H$59,2,FALSE),0)</f>
        <v>0</v>
      </c>
      <c r="AU77" s="447">
        <f t="shared" ref="AU77" si="991">2*$AK77*AT77*$AL77/100*$AM77</f>
        <v>0</v>
      </c>
      <c r="AV77" s="447">
        <f t="shared" si="300"/>
        <v>0</v>
      </c>
      <c r="AW77" s="446">
        <f>IFERROR(HLOOKUP(HLOOKUP(AW$17,$V$18:$AE77,COUNTA($AK$18:$AK77),FALSE),Inputs!$B$58:$H$59,2,FALSE),0)</f>
        <v>0</v>
      </c>
      <c r="AX77" s="447">
        <f t="shared" ref="AX77" si="992">2*$AK77*AW77*$AL77/100*$AM77</f>
        <v>0</v>
      </c>
      <c r="AY77" s="447">
        <f t="shared" si="302"/>
        <v>0</v>
      </c>
      <c r="AZ77" s="446">
        <f>IFERROR(HLOOKUP(HLOOKUP(AZ$17,$V$18:$AE77,COUNTA($AK$18:$AK77),FALSE),Inputs!$B$58:$H$59,2,FALSE),0)</f>
        <v>0</v>
      </c>
      <c r="BA77" s="447">
        <f t="shared" ref="BA77" si="993">2*$AK77*AZ77*$AL77/100*$AM77</f>
        <v>0</v>
      </c>
      <c r="BB77" s="447">
        <f t="shared" si="304"/>
        <v>0</v>
      </c>
      <c r="BC77" s="446">
        <f>IFERROR(HLOOKUP(HLOOKUP(BC$17,$V$18:$AE77,COUNTA($AK$18:$AK77),FALSE),Inputs!$B$58:$H$59,2,FALSE),0)</f>
        <v>0</v>
      </c>
      <c r="BD77" s="447">
        <f t="shared" ref="BD77" si="994">2*$AK77*BC77*$AL77/100*$AM77</f>
        <v>0</v>
      </c>
      <c r="BE77" s="447">
        <f t="shared" si="306"/>
        <v>0</v>
      </c>
      <c r="BF77" s="446">
        <f>IFERROR(HLOOKUP(HLOOKUP(BF$17,$V$18:$AE77,COUNTA($AK$18:$AK77),FALSE),Inputs!$B$58:$H$59,2,FALSE),0)</f>
        <v>0</v>
      </c>
      <c r="BG77" s="447">
        <f t="shared" ref="BG77" si="995">2*$AK77*BF77*$AL77/100*$AM77</f>
        <v>0</v>
      </c>
      <c r="BH77" s="447">
        <f t="shared" si="308"/>
        <v>0</v>
      </c>
      <c r="BI77" s="446">
        <f>IFERROR(HLOOKUP(HLOOKUP(BI$17,$V$18:$AE77,COUNTA($AK$18:$AK77),FALSE),Inputs!$B$58:$H$59,2,FALSE),0)</f>
        <v>0</v>
      </c>
      <c r="BJ77" s="447">
        <f t="shared" ref="BJ77" si="996">2*$AK77*BI77*$AL77/100*$AM77</f>
        <v>0</v>
      </c>
      <c r="BK77" s="447">
        <f t="shared" si="310"/>
        <v>0</v>
      </c>
      <c r="BL77" s="446">
        <f>IFERROR(HLOOKUP(HLOOKUP(BL$17,$V$18:$AE77,COUNTA($AK$18:$AK77),FALSE),Inputs!$B$58:$H$59,2,FALSE),0)</f>
        <v>0</v>
      </c>
      <c r="BM77" s="447">
        <f t="shared" ref="BM77" si="997">2*$AK77*BL77*$AL77/100*$AM77</f>
        <v>0</v>
      </c>
      <c r="BN77" s="447">
        <f t="shared" si="312"/>
        <v>0</v>
      </c>
      <c r="BO77" s="446">
        <f>IFERROR(HLOOKUP(HLOOKUP(BO$17,$V$18:$AE77,COUNTA($AK$18:$AK77),FALSE),Inputs!$B$58:$H$59,2,FALSE),0)</f>
        <v>0</v>
      </c>
      <c r="BP77" s="447">
        <f t="shared" ref="BP77" si="998">2*$AK77*BO77*$AL77/100*$AM77</f>
        <v>0</v>
      </c>
      <c r="BQ77" s="447">
        <f t="shared" si="314"/>
        <v>0</v>
      </c>
      <c r="BR77" s="54"/>
      <c r="BS77" s="103">
        <f t="shared" ca="1" si="735"/>
        <v>393.56692978262186</v>
      </c>
      <c r="BT77" s="103">
        <f t="shared" ca="1" si="396"/>
        <v>245.2337198144935</v>
      </c>
      <c r="BU77" s="103">
        <f t="shared" si="397"/>
        <v>115.95408827785818</v>
      </c>
      <c r="BV77" s="103">
        <f t="shared" si="398"/>
        <v>0</v>
      </c>
      <c r="BW77" s="152">
        <f t="shared" ca="1" si="399"/>
        <v>754.75473787497356</v>
      </c>
      <c r="BX77" s="441"/>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188">
        <f t="shared" si="315"/>
        <v>1.37</v>
      </c>
      <c r="DE77" s="188">
        <f t="shared" si="316"/>
        <v>0.24999999999999911</v>
      </c>
      <c r="DF77" s="188">
        <f t="shared" si="317"/>
        <v>-5.0000000000000711E-2</v>
      </c>
      <c r="DG77" s="188">
        <f t="shared" si="318"/>
        <v>-0.3</v>
      </c>
      <c r="DH77" s="188">
        <f t="shared" si="319"/>
        <v>-0.3</v>
      </c>
      <c r="DI77" s="188">
        <f t="shared" si="320"/>
        <v>-0.3</v>
      </c>
      <c r="DJ77" s="188">
        <f t="shared" si="321"/>
        <v>-0.3</v>
      </c>
      <c r="DK77" s="188">
        <f t="shared" si="322"/>
        <v>-0.3</v>
      </c>
      <c r="DL77" s="188">
        <f t="shared" si="323"/>
        <v>-0.3</v>
      </c>
      <c r="DM77" s="188">
        <f t="shared" si="324"/>
        <v>-0.3</v>
      </c>
      <c r="DN77" s="189">
        <f t="shared" si="325"/>
        <v>2.0200000000000005</v>
      </c>
      <c r="DO77" s="189">
        <f t="shared" si="326"/>
        <v>0.89999999999999947</v>
      </c>
      <c r="DP77" s="189">
        <f t="shared" si="327"/>
        <v>0.59999999999999964</v>
      </c>
      <c r="DQ77" s="189">
        <f t="shared" si="328"/>
        <v>0.29999999999999982</v>
      </c>
      <c r="DR77" s="189">
        <f t="shared" si="329"/>
        <v>0</v>
      </c>
      <c r="DS77" s="189">
        <f t="shared" si="330"/>
        <v>0</v>
      </c>
      <c r="DT77" s="189">
        <f t="shared" si="331"/>
        <v>0</v>
      </c>
      <c r="DU77" s="189">
        <f t="shared" si="332"/>
        <v>0</v>
      </c>
      <c r="DV77" s="189">
        <f t="shared" si="333"/>
        <v>0</v>
      </c>
      <c r="DW77" s="189">
        <f t="shared" si="334"/>
        <v>0</v>
      </c>
      <c r="DX77" s="54"/>
      <c r="DY77" s="54"/>
      <c r="DZ77" s="199">
        <f t="shared" ca="1" si="736"/>
        <v>127628.96719729863</v>
      </c>
      <c r="EA77" s="200">
        <f t="shared" si="335"/>
        <v>1</v>
      </c>
      <c r="EB77" s="201">
        <f t="shared" ca="1" si="737"/>
        <v>109262.23225818346</v>
      </c>
      <c r="EC77" s="200">
        <f t="shared" si="336"/>
        <v>1</v>
      </c>
      <c r="ED77" s="201" cm="1">
        <f t="array" ref="ED77">IF(LEFT($AG77,3)="Res",IF(OR($DN77&gt;External_Threshold,$DD77&gt;0),1*Uplift*AWE*(External),0),0)</f>
        <v>15481.186685962373</v>
      </c>
      <c r="EE77" s="200">
        <f t="shared" si="337"/>
        <v>1</v>
      </c>
      <c r="EF77" s="201">
        <f t="shared" si="738"/>
        <v>0</v>
      </c>
      <c r="EG77" s="203">
        <f t="shared" si="338"/>
        <v>0</v>
      </c>
      <c r="EH77" s="199">
        <f t="shared" ca="1" si="739"/>
        <v>97667.796570992126</v>
      </c>
      <c r="EI77" s="200">
        <f t="shared" si="241"/>
        <v>1</v>
      </c>
      <c r="EJ77" s="201">
        <f t="shared" ca="1" si="740"/>
        <v>54716.552592224827</v>
      </c>
      <c r="EK77" s="200">
        <f t="shared" si="243"/>
        <v>1</v>
      </c>
      <c r="EL77" s="201" cm="1">
        <f t="array" ref="EL77">IF(LEFT($AG77,3)="Res",IF(OR($DO77&gt;External_Threshold,$DE77&gt;0),1*Uplift*AWE*(External),0),0)</f>
        <v>15481.186685962373</v>
      </c>
      <c r="EM77" s="200">
        <f t="shared" si="244"/>
        <v>1</v>
      </c>
      <c r="EN77" s="201">
        <f t="shared" si="741"/>
        <v>0</v>
      </c>
      <c r="EO77" s="203">
        <f t="shared" si="339"/>
        <v>0</v>
      </c>
      <c r="EP77" s="199">
        <f t="shared" ca="1" si="742"/>
        <v>5723.738744171088</v>
      </c>
      <c r="EQ77" s="200">
        <f t="shared" si="247"/>
        <v>0</v>
      </c>
      <c r="ER77" s="201">
        <f t="shared" ca="1" si="743"/>
        <v>0</v>
      </c>
      <c r="ES77" s="200">
        <f t="shared" si="249"/>
        <v>0</v>
      </c>
      <c r="ET77" s="201" cm="1">
        <f t="array" ref="ET77">IF(LEFT($AG77,3)="Res",IF(OR($DP77&gt;External_Threshold,$DF77&gt;0),1*Uplift*AWE*(External),0),0)</f>
        <v>15481.186685962373</v>
      </c>
      <c r="EU77" s="200">
        <f t="shared" si="250"/>
        <v>1</v>
      </c>
      <c r="EV77" s="201">
        <f t="shared" si="744"/>
        <v>0</v>
      </c>
      <c r="EW77" s="203">
        <f t="shared" si="340"/>
        <v>0</v>
      </c>
      <c r="EX77" s="199">
        <f t="shared" ca="1" si="745"/>
        <v>0</v>
      </c>
      <c r="EY77" s="200">
        <f t="shared" si="253"/>
        <v>0</v>
      </c>
      <c r="EZ77" s="201">
        <f t="shared" ca="1" si="746"/>
        <v>0</v>
      </c>
      <c r="FA77" s="200">
        <f t="shared" si="255"/>
        <v>0</v>
      </c>
      <c r="FB77" s="201" cm="1">
        <f t="array" ref="FB77">IF(LEFT($AG77,3)="Res",IF(OR($DQ77&gt;External_Threshold,$DG77&gt;0),1*Uplift*AWE*(External),0),0)</f>
        <v>0</v>
      </c>
      <c r="FC77" s="200">
        <f t="shared" si="256"/>
        <v>1</v>
      </c>
      <c r="FD77" s="201">
        <f t="shared" si="257"/>
        <v>0</v>
      </c>
      <c r="FE77" s="203">
        <f t="shared" si="341"/>
        <v>0</v>
      </c>
      <c r="FF77" s="199">
        <f t="shared" ca="1" si="747"/>
        <v>0</v>
      </c>
      <c r="FG77" s="200">
        <f t="shared" si="259"/>
        <v>0</v>
      </c>
      <c r="FH77" s="201">
        <f t="shared" ca="1" si="748"/>
        <v>0</v>
      </c>
      <c r="FI77" s="200">
        <f t="shared" si="261"/>
        <v>0</v>
      </c>
      <c r="FJ77" s="201" cm="1">
        <f t="array" ref="FJ77">IF(LEFT($AG77,3)="Res",IF(OR($DR77&gt;External_Threshold,$DH77&gt;0),1*Uplift*AWE*(External),0),0)</f>
        <v>0</v>
      </c>
      <c r="FK77" s="200">
        <f t="shared" si="262"/>
        <v>0</v>
      </c>
      <c r="FL77" s="201">
        <f t="shared" si="749"/>
        <v>0</v>
      </c>
      <c r="FM77" s="203">
        <f t="shared" si="342"/>
        <v>0</v>
      </c>
      <c r="FN77" s="199">
        <f t="shared" ca="1" si="750"/>
        <v>0</v>
      </c>
      <c r="FO77" s="200">
        <f t="shared" si="265"/>
        <v>0</v>
      </c>
      <c r="FP77" s="201">
        <f t="shared" ca="1" si="751"/>
        <v>0</v>
      </c>
      <c r="FQ77" s="200">
        <f t="shared" si="267"/>
        <v>0</v>
      </c>
      <c r="FR77" s="201" cm="1">
        <f t="array" ref="FR77">IF(LEFT($AG77,3)="Res",IF(OR($DS77&gt;External_Threshold,$DI77&gt;0),1*Uplift*AWE*(External),0),0)</f>
        <v>0</v>
      </c>
      <c r="FS77" s="200">
        <f t="shared" si="268"/>
        <v>0</v>
      </c>
      <c r="FT77" s="201">
        <f t="shared" si="752"/>
        <v>0</v>
      </c>
      <c r="FU77" s="203">
        <f t="shared" si="343"/>
        <v>0</v>
      </c>
      <c r="FV77" s="199">
        <f t="shared" ca="1" si="753"/>
        <v>0</v>
      </c>
      <c r="FW77" s="200">
        <f t="shared" si="271"/>
        <v>0</v>
      </c>
      <c r="FX77" s="201">
        <f t="shared" ca="1" si="754"/>
        <v>0</v>
      </c>
      <c r="FY77" s="200">
        <f t="shared" si="273"/>
        <v>0</v>
      </c>
      <c r="FZ77" s="201" cm="1">
        <f t="array" ref="FZ77">IF(LEFT($AG77,3)="Res",IF(OR($DT77&gt;External_Threshold,$DJ77&gt;0),1*Uplift*AWE*(External),0),0)</f>
        <v>0</v>
      </c>
      <c r="GA77" s="200">
        <f t="shared" si="274"/>
        <v>0</v>
      </c>
      <c r="GB77" s="201">
        <f t="shared" si="755"/>
        <v>0</v>
      </c>
      <c r="GC77" s="203">
        <f t="shared" si="344"/>
        <v>0</v>
      </c>
      <c r="GD77" s="199">
        <f t="shared" ca="1" si="756"/>
        <v>0</v>
      </c>
      <c r="GE77" s="200">
        <f t="shared" si="277"/>
        <v>0</v>
      </c>
      <c r="GF77" s="201">
        <f t="shared" ca="1" si="757"/>
        <v>0</v>
      </c>
      <c r="GG77" s="200">
        <f t="shared" si="279"/>
        <v>0</v>
      </c>
      <c r="GH77" s="201" cm="1">
        <f t="array" ref="GH77">IF(LEFT($AG77,3)="Res",IF(OR($DU77&gt;External_Threshold,$DK77&gt;0),1*Uplift*AWE*(External),0),0)</f>
        <v>0</v>
      </c>
      <c r="GI77" s="200">
        <f t="shared" si="280"/>
        <v>0</v>
      </c>
      <c r="GJ77" s="201">
        <f t="shared" si="758"/>
        <v>0</v>
      </c>
      <c r="GK77" s="203">
        <f t="shared" si="345"/>
        <v>0</v>
      </c>
      <c r="GL77" s="199">
        <f t="shared" ca="1" si="759"/>
        <v>0</v>
      </c>
      <c r="GM77" s="200">
        <f t="shared" si="283"/>
        <v>0</v>
      </c>
      <c r="GN77" s="201">
        <f t="shared" ca="1" si="760"/>
        <v>0</v>
      </c>
      <c r="GO77" s="200">
        <f t="shared" si="285"/>
        <v>0</v>
      </c>
      <c r="GP77" s="201" cm="1">
        <f t="array" ref="GP77">IF(LEFT($AG77,3)="Res",IF(OR($DV77&gt;External_Threshold,$DL77&gt;0),1*Uplift*AWE*(External),0),0)</f>
        <v>0</v>
      </c>
      <c r="GQ77" s="200">
        <f t="shared" si="286"/>
        <v>0</v>
      </c>
      <c r="GR77" s="201">
        <f t="shared" si="761"/>
        <v>0</v>
      </c>
      <c r="GS77" s="203">
        <f t="shared" si="346"/>
        <v>0</v>
      </c>
      <c r="GT77" s="199">
        <f t="shared" ca="1" si="762"/>
        <v>0</v>
      </c>
      <c r="GU77" s="200">
        <f t="shared" si="289"/>
        <v>0</v>
      </c>
      <c r="GV77" s="201">
        <f t="shared" ca="1" si="763"/>
        <v>0</v>
      </c>
      <c r="GW77" s="200">
        <f t="shared" si="291"/>
        <v>0</v>
      </c>
      <c r="GX77" s="201" cm="1">
        <f t="array" ref="GX77">IF(LEFT($AG77,3)="Res",IF(OR($DW77&gt;External_Threshold,$DM77&gt;0),1*Uplift*AWE*(External),0),0)</f>
        <v>0</v>
      </c>
      <c r="GY77" s="200">
        <f t="shared" si="292"/>
        <v>0</v>
      </c>
      <c r="GZ77" s="201">
        <f t="shared" si="764"/>
        <v>0</v>
      </c>
      <c r="HA77" s="203">
        <f t="shared" si="347"/>
        <v>0</v>
      </c>
      <c r="HB77" s="54"/>
      <c r="HC77" s="54"/>
      <c r="HD77" s="54"/>
      <c r="HE77" s="54"/>
      <c r="HF77" s="54"/>
      <c r="HG77" s="201">
        <f t="shared" ca="1" si="348"/>
        <v>252372.38614144444</v>
      </c>
      <c r="HH77" s="201">
        <f t="shared" ca="1" si="349"/>
        <v>167865.53584917932</v>
      </c>
      <c r="HI77" s="201">
        <f t="shared" ca="1" si="350"/>
        <v>21204.925430133462</v>
      </c>
      <c r="HJ77" s="201">
        <f t="shared" ca="1" si="351"/>
        <v>0</v>
      </c>
      <c r="HK77" s="201">
        <f t="shared" ca="1" si="352"/>
        <v>0</v>
      </c>
      <c r="HL77" s="201">
        <f t="shared" ca="1" si="353"/>
        <v>0</v>
      </c>
      <c r="HM77" s="201">
        <f t="shared" ca="1" si="354"/>
        <v>0</v>
      </c>
      <c r="HN77" s="201">
        <f t="shared" ca="1" si="355"/>
        <v>0</v>
      </c>
      <c r="HO77" s="201">
        <f t="shared" ca="1" si="356"/>
        <v>0</v>
      </c>
      <c r="HP77" s="201">
        <f t="shared" ca="1" si="357"/>
        <v>0</v>
      </c>
      <c r="HQ77" s="54"/>
    </row>
    <row r="78" spans="1:225" x14ac:dyDescent="0.3">
      <c r="A78" s="513">
        <v>60</v>
      </c>
      <c r="B78" s="514" t="s">
        <v>483</v>
      </c>
      <c r="C78" s="514" t="s">
        <v>390</v>
      </c>
      <c r="D78" s="514" t="s">
        <v>390</v>
      </c>
      <c r="E78" s="513">
        <v>1</v>
      </c>
      <c r="F78" s="515">
        <v>7.36</v>
      </c>
      <c r="G78" s="515">
        <v>7.02</v>
      </c>
      <c r="H78" s="513">
        <v>2</v>
      </c>
      <c r="I78" s="517">
        <v>1</v>
      </c>
      <c r="J78" s="518" t="s">
        <v>42</v>
      </c>
      <c r="K78" s="513">
        <f t="shared" si="724"/>
        <v>90</v>
      </c>
      <c r="L78" s="519">
        <v>7.74</v>
      </c>
      <c r="M78" s="519">
        <v>6.6199999999999992</v>
      </c>
      <c r="N78" s="519">
        <v>6.3199999999999994</v>
      </c>
      <c r="O78" s="519">
        <v>6.02</v>
      </c>
      <c r="P78" s="519">
        <v>5.47</v>
      </c>
      <c r="Q78" s="519">
        <v>5</v>
      </c>
      <c r="R78" s="519">
        <v>4.2</v>
      </c>
      <c r="S78" s="519">
        <v>0</v>
      </c>
      <c r="T78" s="519">
        <v>0</v>
      </c>
      <c r="U78" s="519">
        <v>0</v>
      </c>
      <c r="V78" s="536"/>
      <c r="W78" s="536"/>
      <c r="X78" s="536"/>
      <c r="Y78" s="536"/>
      <c r="Z78" s="536"/>
      <c r="AA78" s="536"/>
      <c r="AB78" s="536"/>
      <c r="AC78" s="536"/>
      <c r="AD78" s="536"/>
      <c r="AE78" s="536"/>
      <c r="AF78" s="54"/>
      <c r="AG78" s="204" t="str">
        <f t="shared" si="465"/>
        <v>Res1</v>
      </c>
      <c r="AH78" s="204">
        <f t="shared" si="294"/>
        <v>4</v>
      </c>
      <c r="AI78" s="204">
        <f t="shared" si="725"/>
        <v>1</v>
      </c>
      <c r="AJ78" s="54"/>
      <c r="AK78" s="74">
        <f>IFERROR(IF(H78&gt;4,0,AI78*Inputs!$C$55),0)</f>
        <v>2.6</v>
      </c>
      <c r="AL78" s="81">
        <f>IFERROR(Inputs!$C$73,0)</f>
        <v>5</v>
      </c>
      <c r="AM78" s="211">
        <f>IFERROR(Inputs!$C$74,0)</f>
        <v>0.24299999999999999</v>
      </c>
      <c r="AN78" s="446">
        <f>IFERROR(HLOOKUP(HLOOKUP(AN$17,$V$18:$AE78,COUNTA($AK$18:$AK78),FALSE),Inputs!$B$58:$H$59,2,FALSE),0)</f>
        <v>0</v>
      </c>
      <c r="AO78" s="447">
        <f t="shared" si="295"/>
        <v>0</v>
      </c>
      <c r="AP78" s="447">
        <f t="shared" si="296"/>
        <v>0</v>
      </c>
      <c r="AQ78" s="446">
        <f>IFERROR(HLOOKUP(HLOOKUP(AQ$17,$V$18:$AE78,COUNTA($AK$18:$AK78),FALSE),Inputs!$B$58:$H$59,2,FALSE),0)</f>
        <v>0</v>
      </c>
      <c r="AR78" s="447">
        <f t="shared" ref="AR78" si="999">2*$AK78*AQ78*$AL78/100*$AM78</f>
        <v>0</v>
      </c>
      <c r="AS78" s="447">
        <f t="shared" si="298"/>
        <v>0</v>
      </c>
      <c r="AT78" s="446">
        <f>IFERROR(HLOOKUP(HLOOKUP(AT$17,$V$18:$AE78,COUNTA($AK$18:$AK78),FALSE),Inputs!$B$58:$H$59,2,FALSE),0)</f>
        <v>0</v>
      </c>
      <c r="AU78" s="447">
        <f t="shared" ref="AU78" si="1000">2*$AK78*AT78*$AL78/100*$AM78</f>
        <v>0</v>
      </c>
      <c r="AV78" s="447">
        <f t="shared" si="300"/>
        <v>0</v>
      </c>
      <c r="AW78" s="446">
        <f>IFERROR(HLOOKUP(HLOOKUP(AW$17,$V$18:$AE78,COUNTA($AK$18:$AK78),FALSE),Inputs!$B$58:$H$59,2,FALSE),0)</f>
        <v>0</v>
      </c>
      <c r="AX78" s="447">
        <f t="shared" ref="AX78" si="1001">2*$AK78*AW78*$AL78/100*$AM78</f>
        <v>0</v>
      </c>
      <c r="AY78" s="447">
        <f t="shared" si="302"/>
        <v>0</v>
      </c>
      <c r="AZ78" s="446">
        <f>IFERROR(HLOOKUP(HLOOKUP(AZ$17,$V$18:$AE78,COUNTA($AK$18:$AK78),FALSE),Inputs!$B$58:$H$59,2,FALSE),0)</f>
        <v>0</v>
      </c>
      <c r="BA78" s="447">
        <f t="shared" ref="BA78" si="1002">2*$AK78*AZ78*$AL78/100*$AM78</f>
        <v>0</v>
      </c>
      <c r="BB78" s="447">
        <f t="shared" si="304"/>
        <v>0</v>
      </c>
      <c r="BC78" s="446">
        <f>IFERROR(HLOOKUP(HLOOKUP(BC$17,$V$18:$AE78,COUNTA($AK$18:$AK78),FALSE),Inputs!$B$58:$H$59,2,FALSE),0)</f>
        <v>0</v>
      </c>
      <c r="BD78" s="447">
        <f t="shared" ref="BD78" si="1003">2*$AK78*BC78*$AL78/100*$AM78</f>
        <v>0</v>
      </c>
      <c r="BE78" s="447">
        <f t="shared" si="306"/>
        <v>0</v>
      </c>
      <c r="BF78" s="446">
        <f>IFERROR(HLOOKUP(HLOOKUP(BF$17,$V$18:$AE78,COUNTA($AK$18:$AK78),FALSE),Inputs!$B$58:$H$59,2,FALSE),0)</f>
        <v>0</v>
      </c>
      <c r="BG78" s="447">
        <f t="shared" ref="BG78" si="1004">2*$AK78*BF78*$AL78/100*$AM78</f>
        <v>0</v>
      </c>
      <c r="BH78" s="447">
        <f t="shared" si="308"/>
        <v>0</v>
      </c>
      <c r="BI78" s="446">
        <f>IFERROR(HLOOKUP(HLOOKUP(BI$17,$V$18:$AE78,COUNTA($AK$18:$AK78),FALSE),Inputs!$B$58:$H$59,2,FALSE),0)</f>
        <v>0</v>
      </c>
      <c r="BJ78" s="447">
        <f t="shared" ref="BJ78" si="1005">2*$AK78*BI78*$AL78/100*$AM78</f>
        <v>0</v>
      </c>
      <c r="BK78" s="447">
        <f t="shared" si="310"/>
        <v>0</v>
      </c>
      <c r="BL78" s="446">
        <f>IFERROR(HLOOKUP(HLOOKUP(BL$17,$V$18:$AE78,COUNTA($AK$18:$AK78),FALSE),Inputs!$B$58:$H$59,2,FALSE),0)</f>
        <v>0</v>
      </c>
      <c r="BM78" s="447">
        <f t="shared" ref="BM78" si="1006">2*$AK78*BL78*$AL78/100*$AM78</f>
        <v>0</v>
      </c>
      <c r="BN78" s="447">
        <f t="shared" si="312"/>
        <v>0</v>
      </c>
      <c r="BO78" s="446">
        <f>IFERROR(HLOOKUP(HLOOKUP(BO$17,$V$18:$AE78,COUNTA($AK$18:$AK78),FALSE),Inputs!$B$58:$H$59,2,FALSE),0)</f>
        <v>0</v>
      </c>
      <c r="BP78" s="447">
        <f t="shared" ref="BP78" si="1007">2*$AK78*BO78*$AL78/100*$AM78</f>
        <v>0</v>
      </c>
      <c r="BQ78" s="447">
        <f t="shared" si="314"/>
        <v>0</v>
      </c>
      <c r="BR78" s="54"/>
      <c r="BS78" s="103">
        <f t="shared" ca="1" si="735"/>
        <v>40.665981186685961</v>
      </c>
      <c r="BT78" s="103">
        <f t="shared" ca="1" si="396"/>
        <v>32.306114723782713</v>
      </c>
      <c r="BU78" s="103">
        <f t="shared" si="397"/>
        <v>15.403780752532562</v>
      </c>
      <c r="BV78" s="103">
        <f t="shared" si="398"/>
        <v>0</v>
      </c>
      <c r="BW78" s="152">
        <f t="shared" ca="1" si="399"/>
        <v>88.375876663001236</v>
      </c>
      <c r="BX78" s="441"/>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188">
        <f t="shared" si="315"/>
        <v>0.37999999999999989</v>
      </c>
      <c r="DE78" s="188">
        <f t="shared" si="316"/>
        <v>-0.3</v>
      </c>
      <c r="DF78" s="188">
        <f t="shared" si="317"/>
        <v>-0.3</v>
      </c>
      <c r="DG78" s="188">
        <f t="shared" si="318"/>
        <v>-0.3</v>
      </c>
      <c r="DH78" s="188">
        <f t="shared" si="319"/>
        <v>-0.3</v>
      </c>
      <c r="DI78" s="188">
        <f t="shared" si="320"/>
        <v>-0.3</v>
      </c>
      <c r="DJ78" s="188">
        <f t="shared" si="321"/>
        <v>-0.3</v>
      </c>
      <c r="DK78" s="188">
        <f t="shared" si="322"/>
        <v>-0.3</v>
      </c>
      <c r="DL78" s="188">
        <f t="shared" si="323"/>
        <v>-0.3</v>
      </c>
      <c r="DM78" s="188">
        <f t="shared" si="324"/>
        <v>-0.3</v>
      </c>
      <c r="DN78" s="189">
        <f t="shared" si="325"/>
        <v>0.72000000000000064</v>
      </c>
      <c r="DO78" s="189">
        <f t="shared" si="326"/>
        <v>0</v>
      </c>
      <c r="DP78" s="189">
        <f t="shared" si="327"/>
        <v>0</v>
      </c>
      <c r="DQ78" s="189">
        <f t="shared" si="328"/>
        <v>0</v>
      </c>
      <c r="DR78" s="189">
        <f t="shared" si="329"/>
        <v>0</v>
      </c>
      <c r="DS78" s="189">
        <f t="shared" si="330"/>
        <v>0</v>
      </c>
      <c r="DT78" s="189">
        <f t="shared" si="331"/>
        <v>0</v>
      </c>
      <c r="DU78" s="189">
        <f t="shared" si="332"/>
        <v>0</v>
      </c>
      <c r="DV78" s="189">
        <f t="shared" si="333"/>
        <v>0</v>
      </c>
      <c r="DW78" s="189">
        <f t="shared" si="334"/>
        <v>0</v>
      </c>
      <c r="DX78" s="54"/>
      <c r="DY78" s="54"/>
      <c r="DZ78" s="199">
        <f t="shared" ca="1" si="736"/>
        <v>40870.332850940664</v>
      </c>
      <c r="EA78" s="200">
        <f t="shared" si="335"/>
        <v>1</v>
      </c>
      <c r="EB78" s="201">
        <f t="shared" ca="1" si="737"/>
        <v>32468.457008826845</v>
      </c>
      <c r="EC78" s="200">
        <f t="shared" si="336"/>
        <v>1</v>
      </c>
      <c r="ED78" s="201" cm="1">
        <f t="array" ref="ED78">IF(LEFT($AG78,3)="Res",IF(OR($DN78&gt;External_Threshold,$DD78&gt;0),1*Uplift*AWE*(External),0),0)</f>
        <v>15481.186685962373</v>
      </c>
      <c r="EE78" s="200">
        <f t="shared" si="337"/>
        <v>1</v>
      </c>
      <c r="EF78" s="201">
        <f t="shared" si="738"/>
        <v>0</v>
      </c>
      <c r="EG78" s="203">
        <f t="shared" si="338"/>
        <v>0</v>
      </c>
      <c r="EH78" s="199">
        <f t="shared" ca="1" si="739"/>
        <v>0</v>
      </c>
      <c r="EI78" s="200">
        <f t="shared" si="241"/>
        <v>0</v>
      </c>
      <c r="EJ78" s="201">
        <f t="shared" ca="1" si="740"/>
        <v>0</v>
      </c>
      <c r="EK78" s="200">
        <f t="shared" si="243"/>
        <v>0</v>
      </c>
      <c r="EL78" s="201" cm="1">
        <f t="array" ref="EL78">IF(LEFT($AG78,3)="Res",IF(OR($DO78&gt;External_Threshold,$DE78&gt;0),1*Uplift*AWE*(External),0),0)</f>
        <v>0</v>
      </c>
      <c r="EM78" s="200">
        <f t="shared" si="244"/>
        <v>0</v>
      </c>
      <c r="EN78" s="201">
        <f t="shared" si="741"/>
        <v>0</v>
      </c>
      <c r="EO78" s="203">
        <f t="shared" si="339"/>
        <v>0</v>
      </c>
      <c r="EP78" s="199">
        <f t="shared" ca="1" si="742"/>
        <v>0</v>
      </c>
      <c r="EQ78" s="200">
        <f t="shared" si="247"/>
        <v>0</v>
      </c>
      <c r="ER78" s="201">
        <f t="shared" ca="1" si="743"/>
        <v>0</v>
      </c>
      <c r="ES78" s="200">
        <f t="shared" si="249"/>
        <v>0</v>
      </c>
      <c r="ET78" s="201" cm="1">
        <f t="array" ref="ET78">IF(LEFT($AG78,3)="Res",IF(OR($DP78&gt;External_Threshold,$DF78&gt;0),1*Uplift*AWE*(External),0),0)</f>
        <v>0</v>
      </c>
      <c r="EU78" s="200">
        <f t="shared" si="250"/>
        <v>0</v>
      </c>
      <c r="EV78" s="201">
        <f t="shared" si="744"/>
        <v>0</v>
      </c>
      <c r="EW78" s="203">
        <f t="shared" si="340"/>
        <v>0</v>
      </c>
      <c r="EX78" s="199">
        <f t="shared" ca="1" si="745"/>
        <v>0</v>
      </c>
      <c r="EY78" s="200">
        <f t="shared" si="253"/>
        <v>0</v>
      </c>
      <c r="EZ78" s="201">
        <f t="shared" ca="1" si="746"/>
        <v>0</v>
      </c>
      <c r="FA78" s="200">
        <f t="shared" si="255"/>
        <v>0</v>
      </c>
      <c r="FB78" s="201" cm="1">
        <f t="array" ref="FB78">IF(LEFT($AG78,3)="Res",IF(OR($DQ78&gt;External_Threshold,$DG78&gt;0),1*Uplift*AWE*(External),0),0)</f>
        <v>0</v>
      </c>
      <c r="FC78" s="200">
        <f t="shared" si="256"/>
        <v>0</v>
      </c>
      <c r="FD78" s="201">
        <f t="shared" si="257"/>
        <v>0</v>
      </c>
      <c r="FE78" s="203">
        <f t="shared" si="341"/>
        <v>0</v>
      </c>
      <c r="FF78" s="199">
        <f t="shared" ca="1" si="747"/>
        <v>0</v>
      </c>
      <c r="FG78" s="200">
        <f t="shared" si="259"/>
        <v>0</v>
      </c>
      <c r="FH78" s="201">
        <f t="shared" ca="1" si="748"/>
        <v>0</v>
      </c>
      <c r="FI78" s="200">
        <f t="shared" si="261"/>
        <v>0</v>
      </c>
      <c r="FJ78" s="201" cm="1">
        <f t="array" ref="FJ78">IF(LEFT($AG78,3)="Res",IF(OR($DR78&gt;External_Threshold,$DH78&gt;0),1*Uplift*AWE*(External),0),0)</f>
        <v>0</v>
      </c>
      <c r="FK78" s="200">
        <f t="shared" si="262"/>
        <v>0</v>
      </c>
      <c r="FL78" s="201">
        <f t="shared" si="749"/>
        <v>0</v>
      </c>
      <c r="FM78" s="203">
        <f t="shared" si="342"/>
        <v>0</v>
      </c>
      <c r="FN78" s="199">
        <f t="shared" ca="1" si="750"/>
        <v>0</v>
      </c>
      <c r="FO78" s="200">
        <f t="shared" si="265"/>
        <v>0</v>
      </c>
      <c r="FP78" s="201">
        <f t="shared" ca="1" si="751"/>
        <v>0</v>
      </c>
      <c r="FQ78" s="200">
        <f t="shared" si="267"/>
        <v>0</v>
      </c>
      <c r="FR78" s="201" cm="1">
        <f t="array" ref="FR78">IF(LEFT($AG78,3)="Res",IF(OR($DS78&gt;External_Threshold,$DI78&gt;0),1*Uplift*AWE*(External),0),0)</f>
        <v>0</v>
      </c>
      <c r="FS78" s="200">
        <f t="shared" si="268"/>
        <v>0</v>
      </c>
      <c r="FT78" s="201">
        <f t="shared" si="752"/>
        <v>0</v>
      </c>
      <c r="FU78" s="203">
        <f t="shared" si="343"/>
        <v>0</v>
      </c>
      <c r="FV78" s="199">
        <f t="shared" ca="1" si="753"/>
        <v>0</v>
      </c>
      <c r="FW78" s="200">
        <f t="shared" si="271"/>
        <v>0</v>
      </c>
      <c r="FX78" s="201">
        <f t="shared" ca="1" si="754"/>
        <v>0</v>
      </c>
      <c r="FY78" s="200">
        <f t="shared" si="273"/>
        <v>0</v>
      </c>
      <c r="FZ78" s="201" cm="1">
        <f t="array" ref="FZ78">IF(LEFT($AG78,3)="Res",IF(OR($DT78&gt;External_Threshold,$DJ78&gt;0),1*Uplift*AWE*(External),0),0)</f>
        <v>0</v>
      </c>
      <c r="GA78" s="200">
        <f t="shared" si="274"/>
        <v>0</v>
      </c>
      <c r="GB78" s="201">
        <f t="shared" si="755"/>
        <v>0</v>
      </c>
      <c r="GC78" s="203">
        <f t="shared" si="344"/>
        <v>0</v>
      </c>
      <c r="GD78" s="199">
        <f t="shared" ca="1" si="756"/>
        <v>0</v>
      </c>
      <c r="GE78" s="200">
        <f t="shared" si="277"/>
        <v>0</v>
      </c>
      <c r="GF78" s="201">
        <f t="shared" ca="1" si="757"/>
        <v>0</v>
      </c>
      <c r="GG78" s="200">
        <f t="shared" si="279"/>
        <v>0</v>
      </c>
      <c r="GH78" s="201" cm="1">
        <f t="array" ref="GH78">IF(LEFT($AG78,3)="Res",IF(OR($DU78&gt;External_Threshold,$DK78&gt;0),1*Uplift*AWE*(External),0),0)</f>
        <v>0</v>
      </c>
      <c r="GI78" s="200">
        <f t="shared" si="280"/>
        <v>0</v>
      </c>
      <c r="GJ78" s="201">
        <f t="shared" si="758"/>
        <v>0</v>
      </c>
      <c r="GK78" s="203">
        <f t="shared" si="345"/>
        <v>0</v>
      </c>
      <c r="GL78" s="199">
        <f t="shared" ca="1" si="759"/>
        <v>0</v>
      </c>
      <c r="GM78" s="200">
        <f t="shared" si="283"/>
        <v>0</v>
      </c>
      <c r="GN78" s="201">
        <f t="shared" ca="1" si="760"/>
        <v>0</v>
      </c>
      <c r="GO78" s="200">
        <f t="shared" si="285"/>
        <v>0</v>
      </c>
      <c r="GP78" s="201" cm="1">
        <f t="array" ref="GP78">IF(LEFT($AG78,3)="Res",IF(OR($DV78&gt;External_Threshold,$DL78&gt;0),1*Uplift*AWE*(External),0),0)</f>
        <v>0</v>
      </c>
      <c r="GQ78" s="200">
        <f t="shared" si="286"/>
        <v>0</v>
      </c>
      <c r="GR78" s="201">
        <f t="shared" si="761"/>
        <v>0</v>
      </c>
      <c r="GS78" s="203">
        <f t="shared" si="346"/>
        <v>0</v>
      </c>
      <c r="GT78" s="199">
        <f t="shared" ca="1" si="762"/>
        <v>0</v>
      </c>
      <c r="GU78" s="200">
        <f t="shared" si="289"/>
        <v>0</v>
      </c>
      <c r="GV78" s="201">
        <f t="shared" ca="1" si="763"/>
        <v>0</v>
      </c>
      <c r="GW78" s="200">
        <f t="shared" si="291"/>
        <v>0</v>
      </c>
      <c r="GX78" s="201" cm="1">
        <f t="array" ref="GX78">IF(LEFT($AG78,3)="Res",IF(OR($DW78&gt;External_Threshold,$DM78&gt;0),1*Uplift*AWE*(External),0),0)</f>
        <v>0</v>
      </c>
      <c r="GY78" s="200">
        <f t="shared" si="292"/>
        <v>0</v>
      </c>
      <c r="GZ78" s="201">
        <f t="shared" si="764"/>
        <v>0</v>
      </c>
      <c r="HA78" s="203">
        <f t="shared" si="347"/>
        <v>0</v>
      </c>
      <c r="HB78" s="54"/>
      <c r="HC78" s="54"/>
      <c r="HD78" s="54"/>
      <c r="HE78" s="54"/>
      <c r="HF78" s="54"/>
      <c r="HG78" s="201">
        <f t="shared" ca="1" si="348"/>
        <v>88819.976545729878</v>
      </c>
      <c r="HH78" s="201">
        <f t="shared" ca="1" si="349"/>
        <v>0</v>
      </c>
      <c r="HI78" s="201">
        <f t="shared" ca="1" si="350"/>
        <v>0</v>
      </c>
      <c r="HJ78" s="201">
        <f t="shared" ca="1" si="351"/>
        <v>0</v>
      </c>
      <c r="HK78" s="201">
        <f t="shared" ca="1" si="352"/>
        <v>0</v>
      </c>
      <c r="HL78" s="201">
        <f t="shared" ca="1" si="353"/>
        <v>0</v>
      </c>
      <c r="HM78" s="201">
        <f t="shared" ca="1" si="354"/>
        <v>0</v>
      </c>
      <c r="HN78" s="201">
        <f t="shared" ca="1" si="355"/>
        <v>0</v>
      </c>
      <c r="HO78" s="201">
        <f t="shared" ca="1" si="356"/>
        <v>0</v>
      </c>
      <c r="HP78" s="201">
        <f t="shared" ca="1" si="357"/>
        <v>0</v>
      </c>
      <c r="HQ78" s="54"/>
    </row>
    <row r="79" spans="1:225" x14ac:dyDescent="0.3">
      <c r="A79" s="513">
        <v>61</v>
      </c>
      <c r="B79" s="514" t="s">
        <v>484</v>
      </c>
      <c r="C79" s="514" t="s">
        <v>390</v>
      </c>
      <c r="D79" s="514" t="s">
        <v>390</v>
      </c>
      <c r="E79" s="513">
        <v>1</v>
      </c>
      <c r="F79" s="515">
        <v>7.29</v>
      </c>
      <c r="G79" s="515">
        <v>6.82</v>
      </c>
      <c r="H79" s="513">
        <v>2</v>
      </c>
      <c r="I79" s="517">
        <v>1</v>
      </c>
      <c r="J79" s="518" t="s">
        <v>43</v>
      </c>
      <c r="K79" s="513">
        <f t="shared" si="724"/>
        <v>180</v>
      </c>
      <c r="L79" s="519">
        <v>7.74</v>
      </c>
      <c r="M79" s="519">
        <v>6.6199999999999992</v>
      </c>
      <c r="N79" s="519">
        <v>6.3199999999999994</v>
      </c>
      <c r="O79" s="519">
        <v>6.02</v>
      </c>
      <c r="P79" s="519">
        <v>5.47</v>
      </c>
      <c r="Q79" s="519">
        <v>5</v>
      </c>
      <c r="R79" s="519">
        <v>4.2</v>
      </c>
      <c r="S79" s="519">
        <v>0</v>
      </c>
      <c r="T79" s="519">
        <v>0</v>
      </c>
      <c r="U79" s="519">
        <v>0</v>
      </c>
      <c r="V79" s="536"/>
      <c r="W79" s="536"/>
      <c r="X79" s="536"/>
      <c r="Y79" s="536"/>
      <c r="Z79" s="536"/>
      <c r="AA79" s="536"/>
      <c r="AB79" s="536"/>
      <c r="AC79" s="536"/>
      <c r="AD79" s="536"/>
      <c r="AE79" s="536"/>
      <c r="AF79" s="54"/>
      <c r="AG79" s="204" t="str">
        <f t="shared" si="465"/>
        <v>Res1</v>
      </c>
      <c r="AH79" s="204">
        <f t="shared" si="294"/>
        <v>5</v>
      </c>
      <c r="AI79" s="204">
        <f t="shared" si="725"/>
        <v>1</v>
      </c>
      <c r="AJ79" s="54"/>
      <c r="AK79" s="74">
        <f>IFERROR(IF(H79&gt;4,0,AI79*Inputs!$C$55),0)</f>
        <v>2.6</v>
      </c>
      <c r="AL79" s="81">
        <f>IFERROR(Inputs!$C$73,0)</f>
        <v>5</v>
      </c>
      <c r="AM79" s="211">
        <f>IFERROR(Inputs!$C$74,0)</f>
        <v>0.24299999999999999</v>
      </c>
      <c r="AN79" s="446">
        <f>IFERROR(HLOOKUP(HLOOKUP(AN$17,$V$18:$AE79,COUNTA($AK$18:$AK79),FALSE),Inputs!$B$58:$H$59,2,FALSE),0)</f>
        <v>0</v>
      </c>
      <c r="AO79" s="447">
        <f t="shared" si="295"/>
        <v>0</v>
      </c>
      <c r="AP79" s="447">
        <f t="shared" si="296"/>
        <v>0</v>
      </c>
      <c r="AQ79" s="446">
        <f>IFERROR(HLOOKUP(HLOOKUP(AQ$17,$V$18:$AE79,COUNTA($AK$18:$AK79),FALSE),Inputs!$B$58:$H$59,2,FALSE),0)</f>
        <v>0</v>
      </c>
      <c r="AR79" s="447">
        <f t="shared" ref="AR79" si="1008">2*$AK79*AQ79*$AL79/100*$AM79</f>
        <v>0</v>
      </c>
      <c r="AS79" s="447">
        <f t="shared" si="298"/>
        <v>0</v>
      </c>
      <c r="AT79" s="446">
        <f>IFERROR(HLOOKUP(HLOOKUP(AT$17,$V$18:$AE79,COUNTA($AK$18:$AK79),FALSE),Inputs!$B$58:$H$59,2,FALSE),0)</f>
        <v>0</v>
      </c>
      <c r="AU79" s="447">
        <f t="shared" ref="AU79" si="1009">2*$AK79*AT79*$AL79/100*$AM79</f>
        <v>0</v>
      </c>
      <c r="AV79" s="447">
        <f t="shared" si="300"/>
        <v>0</v>
      </c>
      <c r="AW79" s="446">
        <f>IFERROR(HLOOKUP(HLOOKUP(AW$17,$V$18:$AE79,COUNTA($AK$18:$AK79),FALSE),Inputs!$B$58:$H$59,2,FALSE),0)</f>
        <v>0</v>
      </c>
      <c r="AX79" s="447">
        <f t="shared" ref="AX79" si="1010">2*$AK79*AW79*$AL79/100*$AM79</f>
        <v>0</v>
      </c>
      <c r="AY79" s="447">
        <f t="shared" si="302"/>
        <v>0</v>
      </c>
      <c r="AZ79" s="446">
        <f>IFERROR(HLOOKUP(HLOOKUP(AZ$17,$V$18:$AE79,COUNTA($AK$18:$AK79),FALSE),Inputs!$B$58:$H$59,2,FALSE),0)</f>
        <v>0</v>
      </c>
      <c r="BA79" s="447">
        <f t="shared" ref="BA79" si="1011">2*$AK79*AZ79*$AL79/100*$AM79</f>
        <v>0</v>
      </c>
      <c r="BB79" s="447">
        <f t="shared" si="304"/>
        <v>0</v>
      </c>
      <c r="BC79" s="446">
        <f>IFERROR(HLOOKUP(HLOOKUP(BC$17,$V$18:$AE79,COUNTA($AK$18:$AK79),FALSE),Inputs!$B$58:$H$59,2,FALSE),0)</f>
        <v>0</v>
      </c>
      <c r="BD79" s="447">
        <f t="shared" ref="BD79" si="1012">2*$AK79*BC79*$AL79/100*$AM79</f>
        <v>0</v>
      </c>
      <c r="BE79" s="447">
        <f t="shared" si="306"/>
        <v>0</v>
      </c>
      <c r="BF79" s="446">
        <f>IFERROR(HLOOKUP(HLOOKUP(BF$17,$V$18:$AE79,COUNTA($AK$18:$AK79),FALSE),Inputs!$B$58:$H$59,2,FALSE),0)</f>
        <v>0</v>
      </c>
      <c r="BG79" s="447">
        <f t="shared" ref="BG79" si="1013">2*$AK79*BF79*$AL79/100*$AM79</f>
        <v>0</v>
      </c>
      <c r="BH79" s="447">
        <f t="shared" si="308"/>
        <v>0</v>
      </c>
      <c r="BI79" s="446">
        <f>IFERROR(HLOOKUP(HLOOKUP(BI$17,$V$18:$AE79,COUNTA($AK$18:$AK79),FALSE),Inputs!$B$58:$H$59,2,FALSE),0)</f>
        <v>0</v>
      </c>
      <c r="BJ79" s="447">
        <f t="shared" ref="BJ79" si="1014">2*$AK79*BI79*$AL79/100*$AM79</f>
        <v>0</v>
      </c>
      <c r="BK79" s="447">
        <f t="shared" si="310"/>
        <v>0</v>
      </c>
      <c r="BL79" s="446">
        <f>IFERROR(HLOOKUP(HLOOKUP(BL$17,$V$18:$AE79,COUNTA($AK$18:$AK79),FALSE),Inputs!$B$58:$H$59,2,FALSE),0)</f>
        <v>0</v>
      </c>
      <c r="BM79" s="447">
        <f t="shared" ref="BM79" si="1015">2*$AK79*BL79*$AL79/100*$AM79</f>
        <v>0</v>
      </c>
      <c r="BN79" s="447">
        <f t="shared" si="312"/>
        <v>0</v>
      </c>
      <c r="BO79" s="446">
        <f>IFERROR(HLOOKUP(HLOOKUP(BO$17,$V$18:$AE79,COUNTA($AK$18:$AK79),FALSE),Inputs!$B$58:$H$59,2,FALSE),0)</f>
        <v>0</v>
      </c>
      <c r="BP79" s="447">
        <f t="shared" ref="BP79" si="1016">2*$AK79*BO79*$AL79/100*$AM79</f>
        <v>0</v>
      </c>
      <c r="BQ79" s="447">
        <f t="shared" si="314"/>
        <v>0</v>
      </c>
      <c r="BR79" s="54"/>
      <c r="BS79" s="103">
        <f t="shared" ca="1" si="735"/>
        <v>81.331962373371923</v>
      </c>
      <c r="BT79" s="103">
        <f t="shared" ca="1" si="396"/>
        <v>57.941420219075916</v>
      </c>
      <c r="BU79" s="103">
        <f t="shared" si="397"/>
        <v>15.403780752532562</v>
      </c>
      <c r="BV79" s="103">
        <f t="shared" si="398"/>
        <v>0</v>
      </c>
      <c r="BW79" s="152">
        <f t="shared" ca="1" si="399"/>
        <v>154.67716334498039</v>
      </c>
      <c r="BX79" s="441"/>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188">
        <f t="shared" si="315"/>
        <v>0.45000000000000018</v>
      </c>
      <c r="DE79" s="188">
        <f t="shared" si="316"/>
        <v>-0.3</v>
      </c>
      <c r="DF79" s="188">
        <f t="shared" si="317"/>
        <v>-0.3</v>
      </c>
      <c r="DG79" s="188">
        <f t="shared" si="318"/>
        <v>-0.3</v>
      </c>
      <c r="DH79" s="188">
        <f t="shared" si="319"/>
        <v>-0.3</v>
      </c>
      <c r="DI79" s="188">
        <f t="shared" si="320"/>
        <v>-0.3</v>
      </c>
      <c r="DJ79" s="188">
        <f t="shared" si="321"/>
        <v>-0.3</v>
      </c>
      <c r="DK79" s="188">
        <f t="shared" si="322"/>
        <v>-0.3</v>
      </c>
      <c r="DL79" s="188">
        <f t="shared" si="323"/>
        <v>-0.3</v>
      </c>
      <c r="DM79" s="188">
        <f t="shared" si="324"/>
        <v>-0.3</v>
      </c>
      <c r="DN79" s="189">
        <f t="shared" si="325"/>
        <v>0.91999999999999993</v>
      </c>
      <c r="DO79" s="189">
        <f t="shared" si="326"/>
        <v>0</v>
      </c>
      <c r="DP79" s="189">
        <f t="shared" si="327"/>
        <v>0</v>
      </c>
      <c r="DQ79" s="189">
        <f t="shared" si="328"/>
        <v>0</v>
      </c>
      <c r="DR79" s="189">
        <f t="shared" si="329"/>
        <v>0</v>
      </c>
      <c r="DS79" s="189">
        <f t="shared" si="330"/>
        <v>0</v>
      </c>
      <c r="DT79" s="189">
        <f t="shared" si="331"/>
        <v>0</v>
      </c>
      <c r="DU79" s="189">
        <f t="shared" si="332"/>
        <v>0</v>
      </c>
      <c r="DV79" s="189">
        <f t="shared" si="333"/>
        <v>0</v>
      </c>
      <c r="DW79" s="189">
        <f t="shared" si="334"/>
        <v>0</v>
      </c>
      <c r="DX79" s="54"/>
      <c r="DY79" s="54"/>
      <c r="DZ79" s="199">
        <f t="shared" ca="1" si="736"/>
        <v>81740.665701881328</v>
      </c>
      <c r="EA79" s="200">
        <f t="shared" si="335"/>
        <v>1</v>
      </c>
      <c r="EB79" s="201">
        <f t="shared" ca="1" si="737"/>
        <v>58232.583134749664</v>
      </c>
      <c r="EC79" s="200">
        <f t="shared" si="336"/>
        <v>1</v>
      </c>
      <c r="ED79" s="201" cm="1">
        <f t="array" ref="ED79">IF(LEFT($AG79,3)="Res",IF(OR($DN79&gt;External_Threshold,$DD79&gt;0),1*Uplift*AWE*(External),0),0)</f>
        <v>15481.186685962373</v>
      </c>
      <c r="EE79" s="200">
        <f t="shared" si="337"/>
        <v>1</v>
      </c>
      <c r="EF79" s="201">
        <f t="shared" si="738"/>
        <v>0</v>
      </c>
      <c r="EG79" s="203">
        <f t="shared" si="338"/>
        <v>0</v>
      </c>
      <c r="EH79" s="199">
        <f t="shared" ca="1" si="739"/>
        <v>0</v>
      </c>
      <c r="EI79" s="200">
        <f t="shared" si="241"/>
        <v>0</v>
      </c>
      <c r="EJ79" s="201">
        <f t="shared" ca="1" si="740"/>
        <v>0</v>
      </c>
      <c r="EK79" s="200">
        <f t="shared" si="243"/>
        <v>0</v>
      </c>
      <c r="EL79" s="201" cm="1">
        <f t="array" ref="EL79">IF(LEFT($AG79,3)="Res",IF(OR($DO79&gt;External_Threshold,$DE79&gt;0),1*Uplift*AWE*(External),0),0)</f>
        <v>0</v>
      </c>
      <c r="EM79" s="200">
        <f t="shared" si="244"/>
        <v>0</v>
      </c>
      <c r="EN79" s="201">
        <f t="shared" si="741"/>
        <v>0</v>
      </c>
      <c r="EO79" s="203">
        <f t="shared" si="339"/>
        <v>0</v>
      </c>
      <c r="EP79" s="199">
        <f t="shared" ca="1" si="742"/>
        <v>0</v>
      </c>
      <c r="EQ79" s="200">
        <f t="shared" si="247"/>
        <v>0</v>
      </c>
      <c r="ER79" s="201">
        <f t="shared" ca="1" si="743"/>
        <v>0</v>
      </c>
      <c r="ES79" s="200">
        <f t="shared" si="249"/>
        <v>0</v>
      </c>
      <c r="ET79" s="201" cm="1">
        <f t="array" ref="ET79">IF(LEFT($AG79,3)="Res",IF(OR($DP79&gt;External_Threshold,$DF79&gt;0),1*Uplift*AWE*(External),0),0)</f>
        <v>0</v>
      </c>
      <c r="EU79" s="200">
        <f t="shared" si="250"/>
        <v>0</v>
      </c>
      <c r="EV79" s="201">
        <f t="shared" si="744"/>
        <v>0</v>
      </c>
      <c r="EW79" s="203">
        <f t="shared" si="340"/>
        <v>0</v>
      </c>
      <c r="EX79" s="199">
        <f t="shared" ca="1" si="745"/>
        <v>0</v>
      </c>
      <c r="EY79" s="200">
        <f t="shared" si="253"/>
        <v>0</v>
      </c>
      <c r="EZ79" s="201">
        <f t="shared" ca="1" si="746"/>
        <v>0</v>
      </c>
      <c r="FA79" s="200">
        <f t="shared" si="255"/>
        <v>0</v>
      </c>
      <c r="FB79" s="201" cm="1">
        <f t="array" ref="FB79">IF(LEFT($AG79,3)="Res",IF(OR($DQ79&gt;External_Threshold,$DG79&gt;0),1*Uplift*AWE*(External),0),0)</f>
        <v>0</v>
      </c>
      <c r="FC79" s="200">
        <f t="shared" si="256"/>
        <v>0</v>
      </c>
      <c r="FD79" s="201">
        <f t="shared" si="257"/>
        <v>0</v>
      </c>
      <c r="FE79" s="203">
        <f t="shared" si="341"/>
        <v>0</v>
      </c>
      <c r="FF79" s="199">
        <f t="shared" ca="1" si="747"/>
        <v>0</v>
      </c>
      <c r="FG79" s="200">
        <f t="shared" si="259"/>
        <v>0</v>
      </c>
      <c r="FH79" s="201">
        <f t="shared" ca="1" si="748"/>
        <v>0</v>
      </c>
      <c r="FI79" s="200">
        <f t="shared" si="261"/>
        <v>0</v>
      </c>
      <c r="FJ79" s="201" cm="1">
        <f t="array" ref="FJ79">IF(LEFT($AG79,3)="Res",IF(OR($DR79&gt;External_Threshold,$DH79&gt;0),1*Uplift*AWE*(External),0),0)</f>
        <v>0</v>
      </c>
      <c r="FK79" s="200">
        <f t="shared" si="262"/>
        <v>0</v>
      </c>
      <c r="FL79" s="201">
        <f t="shared" si="749"/>
        <v>0</v>
      </c>
      <c r="FM79" s="203">
        <f t="shared" si="342"/>
        <v>0</v>
      </c>
      <c r="FN79" s="199">
        <f t="shared" ca="1" si="750"/>
        <v>0</v>
      </c>
      <c r="FO79" s="200">
        <f t="shared" si="265"/>
        <v>0</v>
      </c>
      <c r="FP79" s="201">
        <f t="shared" ca="1" si="751"/>
        <v>0</v>
      </c>
      <c r="FQ79" s="200">
        <f t="shared" si="267"/>
        <v>0</v>
      </c>
      <c r="FR79" s="201" cm="1">
        <f t="array" ref="FR79">IF(LEFT($AG79,3)="Res",IF(OR($DS79&gt;External_Threshold,$DI79&gt;0),1*Uplift*AWE*(External),0),0)</f>
        <v>0</v>
      </c>
      <c r="FS79" s="200">
        <f t="shared" si="268"/>
        <v>0</v>
      </c>
      <c r="FT79" s="201">
        <f t="shared" si="752"/>
        <v>0</v>
      </c>
      <c r="FU79" s="203">
        <f t="shared" si="343"/>
        <v>0</v>
      </c>
      <c r="FV79" s="199">
        <f t="shared" ca="1" si="753"/>
        <v>0</v>
      </c>
      <c r="FW79" s="200">
        <f t="shared" si="271"/>
        <v>0</v>
      </c>
      <c r="FX79" s="201">
        <f t="shared" ca="1" si="754"/>
        <v>0</v>
      </c>
      <c r="FY79" s="200">
        <f t="shared" si="273"/>
        <v>0</v>
      </c>
      <c r="FZ79" s="201" cm="1">
        <f t="array" ref="FZ79">IF(LEFT($AG79,3)="Res",IF(OR($DT79&gt;External_Threshold,$DJ79&gt;0),1*Uplift*AWE*(External),0),0)</f>
        <v>0</v>
      </c>
      <c r="GA79" s="200">
        <f t="shared" si="274"/>
        <v>0</v>
      </c>
      <c r="GB79" s="201">
        <f t="shared" si="755"/>
        <v>0</v>
      </c>
      <c r="GC79" s="203">
        <f t="shared" si="344"/>
        <v>0</v>
      </c>
      <c r="GD79" s="199">
        <f t="shared" ca="1" si="756"/>
        <v>0</v>
      </c>
      <c r="GE79" s="200">
        <f t="shared" si="277"/>
        <v>0</v>
      </c>
      <c r="GF79" s="201">
        <f t="shared" ca="1" si="757"/>
        <v>0</v>
      </c>
      <c r="GG79" s="200">
        <f t="shared" si="279"/>
        <v>0</v>
      </c>
      <c r="GH79" s="201" cm="1">
        <f t="array" ref="GH79">IF(LEFT($AG79,3)="Res",IF(OR($DU79&gt;External_Threshold,$DK79&gt;0),1*Uplift*AWE*(External),0),0)</f>
        <v>0</v>
      </c>
      <c r="GI79" s="200">
        <f t="shared" si="280"/>
        <v>0</v>
      </c>
      <c r="GJ79" s="201">
        <f t="shared" si="758"/>
        <v>0</v>
      </c>
      <c r="GK79" s="203">
        <f t="shared" si="345"/>
        <v>0</v>
      </c>
      <c r="GL79" s="199">
        <f t="shared" ca="1" si="759"/>
        <v>0</v>
      </c>
      <c r="GM79" s="200">
        <f t="shared" si="283"/>
        <v>0</v>
      </c>
      <c r="GN79" s="201">
        <f t="shared" ca="1" si="760"/>
        <v>0</v>
      </c>
      <c r="GO79" s="200">
        <f t="shared" si="285"/>
        <v>0</v>
      </c>
      <c r="GP79" s="201" cm="1">
        <f t="array" ref="GP79">IF(LEFT($AG79,3)="Res",IF(OR($DV79&gt;External_Threshold,$DL79&gt;0),1*Uplift*AWE*(External),0),0)</f>
        <v>0</v>
      </c>
      <c r="GQ79" s="200">
        <f t="shared" si="286"/>
        <v>0</v>
      </c>
      <c r="GR79" s="201">
        <f t="shared" si="761"/>
        <v>0</v>
      </c>
      <c r="GS79" s="203">
        <f t="shared" si="346"/>
        <v>0</v>
      </c>
      <c r="GT79" s="199">
        <f t="shared" ca="1" si="762"/>
        <v>0</v>
      </c>
      <c r="GU79" s="200">
        <f t="shared" si="289"/>
        <v>0</v>
      </c>
      <c r="GV79" s="201">
        <f t="shared" ca="1" si="763"/>
        <v>0</v>
      </c>
      <c r="GW79" s="200">
        <f t="shared" si="291"/>
        <v>0</v>
      </c>
      <c r="GX79" s="201" cm="1">
        <f t="array" ref="GX79">IF(LEFT($AG79,3)="Res",IF(OR($DW79&gt;External_Threshold,$DM79&gt;0),1*Uplift*AWE*(External),0),0)</f>
        <v>0</v>
      </c>
      <c r="GY79" s="200">
        <f t="shared" si="292"/>
        <v>0</v>
      </c>
      <c r="GZ79" s="201">
        <f t="shared" si="764"/>
        <v>0</v>
      </c>
      <c r="HA79" s="203">
        <f t="shared" si="347"/>
        <v>0</v>
      </c>
      <c r="HB79" s="54"/>
      <c r="HC79" s="54"/>
      <c r="HD79" s="54"/>
      <c r="HE79" s="54"/>
      <c r="HF79" s="54"/>
      <c r="HG79" s="201">
        <f t="shared" ca="1" si="348"/>
        <v>155454.43552259335</v>
      </c>
      <c r="HH79" s="201">
        <f t="shared" ca="1" si="349"/>
        <v>0</v>
      </c>
      <c r="HI79" s="201">
        <f t="shared" ca="1" si="350"/>
        <v>0</v>
      </c>
      <c r="HJ79" s="201">
        <f t="shared" ca="1" si="351"/>
        <v>0</v>
      </c>
      <c r="HK79" s="201">
        <f t="shared" ca="1" si="352"/>
        <v>0</v>
      </c>
      <c r="HL79" s="201">
        <f t="shared" ca="1" si="353"/>
        <v>0</v>
      </c>
      <c r="HM79" s="201">
        <f t="shared" ca="1" si="354"/>
        <v>0</v>
      </c>
      <c r="HN79" s="201">
        <f t="shared" ca="1" si="355"/>
        <v>0</v>
      </c>
      <c r="HO79" s="201">
        <f t="shared" ca="1" si="356"/>
        <v>0</v>
      </c>
      <c r="HP79" s="201">
        <f t="shared" ca="1" si="357"/>
        <v>0</v>
      </c>
      <c r="HQ79" s="54"/>
    </row>
    <row r="80" spans="1:225" x14ac:dyDescent="0.3">
      <c r="A80" s="513">
        <v>62</v>
      </c>
      <c r="B80" s="514" t="s">
        <v>485</v>
      </c>
      <c r="C80" s="514" t="s">
        <v>390</v>
      </c>
      <c r="D80" s="514" t="s">
        <v>390</v>
      </c>
      <c r="E80" s="513">
        <v>1</v>
      </c>
      <c r="F80" s="515">
        <v>7.18</v>
      </c>
      <c r="G80" s="515">
        <v>6.61</v>
      </c>
      <c r="H80" s="513">
        <v>1</v>
      </c>
      <c r="I80" s="517">
        <v>1</v>
      </c>
      <c r="J80" s="518" t="s">
        <v>44</v>
      </c>
      <c r="K80" s="513">
        <f t="shared" si="724"/>
        <v>240</v>
      </c>
      <c r="L80" s="519">
        <v>7.74</v>
      </c>
      <c r="M80" s="519">
        <v>6.6199999999999992</v>
      </c>
      <c r="N80" s="519">
        <v>6.3199999999999994</v>
      </c>
      <c r="O80" s="519">
        <v>6.02</v>
      </c>
      <c r="P80" s="519">
        <v>5.47</v>
      </c>
      <c r="Q80" s="519">
        <v>5</v>
      </c>
      <c r="R80" s="519">
        <v>4.2</v>
      </c>
      <c r="S80" s="519">
        <v>0</v>
      </c>
      <c r="T80" s="519">
        <v>0</v>
      </c>
      <c r="U80" s="519">
        <v>0</v>
      </c>
      <c r="V80" s="536"/>
      <c r="W80" s="536"/>
      <c r="X80" s="536"/>
      <c r="Y80" s="536"/>
      <c r="Z80" s="536"/>
      <c r="AA80" s="536"/>
      <c r="AB80" s="536"/>
      <c r="AC80" s="536"/>
      <c r="AD80" s="536"/>
      <c r="AE80" s="536"/>
      <c r="AF80" s="54"/>
      <c r="AG80" s="204" t="str">
        <f t="shared" si="465"/>
        <v>Res1</v>
      </c>
      <c r="AH80" s="204">
        <f t="shared" si="294"/>
        <v>6</v>
      </c>
      <c r="AI80" s="204">
        <f t="shared" si="725"/>
        <v>1</v>
      </c>
      <c r="AJ80" s="54"/>
      <c r="AK80" s="74">
        <f>IFERROR(IF(H80&gt;4,0,AI80*Inputs!$C$55),0)</f>
        <v>2.6</v>
      </c>
      <c r="AL80" s="81">
        <f>IFERROR(Inputs!$C$73,0)</f>
        <v>5</v>
      </c>
      <c r="AM80" s="211">
        <f>IFERROR(Inputs!$C$74,0)</f>
        <v>0.24299999999999999</v>
      </c>
      <c r="AN80" s="446">
        <f>IFERROR(HLOOKUP(HLOOKUP(AN$17,$V$18:$AE80,COUNTA($AK$18:$AK80),FALSE),Inputs!$B$58:$H$59,2,FALSE),0)</f>
        <v>0</v>
      </c>
      <c r="AO80" s="447">
        <f t="shared" si="295"/>
        <v>0</v>
      </c>
      <c r="AP80" s="447">
        <f t="shared" si="296"/>
        <v>0</v>
      </c>
      <c r="AQ80" s="446">
        <f>IFERROR(HLOOKUP(HLOOKUP(AQ$17,$V$18:$AE80,COUNTA($AK$18:$AK80),FALSE),Inputs!$B$58:$H$59,2,FALSE),0)</f>
        <v>0</v>
      </c>
      <c r="AR80" s="447">
        <f t="shared" ref="AR80" si="1017">2*$AK80*AQ80*$AL80/100*$AM80</f>
        <v>0</v>
      </c>
      <c r="AS80" s="447">
        <f t="shared" si="298"/>
        <v>0</v>
      </c>
      <c r="AT80" s="446">
        <f>IFERROR(HLOOKUP(HLOOKUP(AT$17,$V$18:$AE80,COUNTA($AK$18:$AK80),FALSE),Inputs!$B$58:$H$59,2,FALSE),0)</f>
        <v>0</v>
      </c>
      <c r="AU80" s="447">
        <f t="shared" ref="AU80" si="1018">2*$AK80*AT80*$AL80/100*$AM80</f>
        <v>0</v>
      </c>
      <c r="AV80" s="447">
        <f t="shared" si="300"/>
        <v>0</v>
      </c>
      <c r="AW80" s="446">
        <f>IFERROR(HLOOKUP(HLOOKUP(AW$17,$V$18:$AE80,COUNTA($AK$18:$AK80),FALSE),Inputs!$B$58:$H$59,2,FALSE),0)</f>
        <v>0</v>
      </c>
      <c r="AX80" s="447">
        <f t="shared" ref="AX80" si="1019">2*$AK80*AW80*$AL80/100*$AM80</f>
        <v>0</v>
      </c>
      <c r="AY80" s="447">
        <f t="shared" si="302"/>
        <v>0</v>
      </c>
      <c r="AZ80" s="446">
        <f>IFERROR(HLOOKUP(HLOOKUP(AZ$17,$V$18:$AE80,COUNTA($AK$18:$AK80),FALSE),Inputs!$B$58:$H$59,2,FALSE),0)</f>
        <v>0</v>
      </c>
      <c r="BA80" s="447">
        <f t="shared" ref="BA80" si="1020">2*$AK80*AZ80*$AL80/100*$AM80</f>
        <v>0</v>
      </c>
      <c r="BB80" s="447">
        <f t="shared" si="304"/>
        <v>0</v>
      </c>
      <c r="BC80" s="446">
        <f>IFERROR(HLOOKUP(HLOOKUP(BC$17,$V$18:$AE80,COUNTA($AK$18:$AK80),FALSE),Inputs!$B$58:$H$59,2,FALSE),0)</f>
        <v>0</v>
      </c>
      <c r="BD80" s="447">
        <f t="shared" ref="BD80" si="1021">2*$AK80*BC80*$AL80/100*$AM80</f>
        <v>0</v>
      </c>
      <c r="BE80" s="447">
        <f t="shared" si="306"/>
        <v>0</v>
      </c>
      <c r="BF80" s="446">
        <f>IFERROR(HLOOKUP(HLOOKUP(BF$17,$V$18:$AE80,COUNTA($AK$18:$AK80),FALSE),Inputs!$B$58:$H$59,2,FALSE),0)</f>
        <v>0</v>
      </c>
      <c r="BG80" s="447">
        <f t="shared" ref="BG80" si="1022">2*$AK80*BF80*$AL80/100*$AM80</f>
        <v>0</v>
      </c>
      <c r="BH80" s="447">
        <f t="shared" si="308"/>
        <v>0</v>
      </c>
      <c r="BI80" s="446">
        <f>IFERROR(HLOOKUP(HLOOKUP(BI$17,$V$18:$AE80,COUNTA($AK$18:$AK80),FALSE),Inputs!$B$58:$H$59,2,FALSE),0)</f>
        <v>0</v>
      </c>
      <c r="BJ80" s="447">
        <f t="shared" ref="BJ80" si="1023">2*$AK80*BI80*$AL80/100*$AM80</f>
        <v>0</v>
      </c>
      <c r="BK80" s="447">
        <f t="shared" si="310"/>
        <v>0</v>
      </c>
      <c r="BL80" s="446">
        <f>IFERROR(HLOOKUP(HLOOKUP(BL$17,$V$18:$AE80,COUNTA($AK$18:$AK80),FALSE),Inputs!$B$58:$H$59,2,FALSE),0)</f>
        <v>0</v>
      </c>
      <c r="BM80" s="447">
        <f t="shared" ref="BM80" si="1024">2*$AK80*BL80*$AL80/100*$AM80</f>
        <v>0</v>
      </c>
      <c r="BN80" s="447">
        <f t="shared" si="312"/>
        <v>0</v>
      </c>
      <c r="BO80" s="446">
        <f>IFERROR(HLOOKUP(HLOOKUP(BO$17,$V$18:$AE80,COUNTA($AK$18:$AK80),FALSE),Inputs!$B$58:$H$59,2,FALSE),0)</f>
        <v>0</v>
      </c>
      <c r="BP80" s="447">
        <f t="shared" ref="BP80" si="1025">2*$AK80*BO80*$AL80/100*$AM80</f>
        <v>0</v>
      </c>
      <c r="BQ80" s="447">
        <f t="shared" si="314"/>
        <v>0</v>
      </c>
      <c r="BR80" s="54"/>
      <c r="BS80" s="103">
        <f t="shared" ca="1" si="735"/>
        <v>109.4592660274964</v>
      </c>
      <c r="BT80" s="103">
        <f t="shared" ca="1" si="396"/>
        <v>80.517992002184556</v>
      </c>
      <c r="BU80" s="103">
        <f t="shared" si="397"/>
        <v>15.403780752532562</v>
      </c>
      <c r="BV80" s="103">
        <f t="shared" si="398"/>
        <v>0</v>
      </c>
      <c r="BW80" s="152">
        <f t="shared" ca="1" si="399"/>
        <v>205.38103878221352</v>
      </c>
      <c r="BX80" s="441"/>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188">
        <f t="shared" si="315"/>
        <v>0.5600000000000005</v>
      </c>
      <c r="DE80" s="188">
        <f t="shared" si="316"/>
        <v>-0.3</v>
      </c>
      <c r="DF80" s="188">
        <f t="shared" si="317"/>
        <v>-0.3</v>
      </c>
      <c r="DG80" s="188">
        <f t="shared" si="318"/>
        <v>-0.3</v>
      </c>
      <c r="DH80" s="188">
        <f t="shared" si="319"/>
        <v>-0.3</v>
      </c>
      <c r="DI80" s="188">
        <f t="shared" si="320"/>
        <v>-0.3</v>
      </c>
      <c r="DJ80" s="188">
        <f t="shared" si="321"/>
        <v>-0.3</v>
      </c>
      <c r="DK80" s="188">
        <f t="shared" si="322"/>
        <v>-0.3</v>
      </c>
      <c r="DL80" s="188">
        <f t="shared" si="323"/>
        <v>-0.3</v>
      </c>
      <c r="DM80" s="188">
        <f t="shared" si="324"/>
        <v>-0.3</v>
      </c>
      <c r="DN80" s="189">
        <f t="shared" si="325"/>
        <v>1.1299999999999999</v>
      </c>
      <c r="DO80" s="189">
        <f t="shared" si="326"/>
        <v>9.9999999999988987E-3</v>
      </c>
      <c r="DP80" s="189">
        <f t="shared" si="327"/>
        <v>0</v>
      </c>
      <c r="DQ80" s="189">
        <f t="shared" si="328"/>
        <v>0</v>
      </c>
      <c r="DR80" s="189">
        <f t="shared" si="329"/>
        <v>0</v>
      </c>
      <c r="DS80" s="189">
        <f t="shared" si="330"/>
        <v>0</v>
      </c>
      <c r="DT80" s="189">
        <f t="shared" si="331"/>
        <v>0</v>
      </c>
      <c r="DU80" s="189">
        <f t="shared" si="332"/>
        <v>0</v>
      </c>
      <c r="DV80" s="189">
        <f t="shared" si="333"/>
        <v>0</v>
      </c>
      <c r="DW80" s="189">
        <f t="shared" si="334"/>
        <v>0</v>
      </c>
      <c r="DX80" s="54"/>
      <c r="DY80" s="54"/>
      <c r="DZ80" s="199">
        <f t="shared" ca="1" si="736"/>
        <v>110009.31259044864</v>
      </c>
      <c r="EA80" s="200">
        <f t="shared" si="335"/>
        <v>1</v>
      </c>
      <c r="EB80" s="201">
        <f t="shared" ca="1" si="737"/>
        <v>80922.605027321159</v>
      </c>
      <c r="EC80" s="200">
        <f t="shared" si="336"/>
        <v>1</v>
      </c>
      <c r="ED80" s="201" cm="1">
        <f t="array" ref="ED80">IF(LEFT($AG80,3)="Res",IF(OR($DN80&gt;External_Threshold,$DD80&gt;0),1*Uplift*AWE*(External),0),0)</f>
        <v>15481.186685962373</v>
      </c>
      <c r="EE80" s="200">
        <f t="shared" si="337"/>
        <v>1</v>
      </c>
      <c r="EF80" s="201">
        <f t="shared" si="738"/>
        <v>0</v>
      </c>
      <c r="EG80" s="203">
        <f t="shared" si="338"/>
        <v>0</v>
      </c>
      <c r="EH80" s="199">
        <f t="shared" ca="1" si="739"/>
        <v>0</v>
      </c>
      <c r="EI80" s="200">
        <f t="shared" si="241"/>
        <v>0</v>
      </c>
      <c r="EJ80" s="201">
        <f t="shared" ca="1" si="740"/>
        <v>0</v>
      </c>
      <c r="EK80" s="200">
        <f t="shared" si="243"/>
        <v>0</v>
      </c>
      <c r="EL80" s="201" cm="1">
        <f t="array" ref="EL80">IF(LEFT($AG80,3)="Res",IF(OR($DO80&gt;External_Threshold,$DE80&gt;0),1*Uplift*AWE*(External),0),0)</f>
        <v>0</v>
      </c>
      <c r="EM80" s="200">
        <f t="shared" si="244"/>
        <v>1</v>
      </c>
      <c r="EN80" s="201">
        <f t="shared" si="741"/>
        <v>0</v>
      </c>
      <c r="EO80" s="203">
        <f t="shared" si="339"/>
        <v>0</v>
      </c>
      <c r="EP80" s="199">
        <f t="shared" ca="1" si="742"/>
        <v>0</v>
      </c>
      <c r="EQ80" s="200">
        <f t="shared" si="247"/>
        <v>0</v>
      </c>
      <c r="ER80" s="201">
        <f t="shared" ca="1" si="743"/>
        <v>0</v>
      </c>
      <c r="ES80" s="200">
        <f t="shared" si="249"/>
        <v>0</v>
      </c>
      <c r="ET80" s="201" cm="1">
        <f t="array" ref="ET80">IF(LEFT($AG80,3)="Res",IF(OR($DP80&gt;External_Threshold,$DF80&gt;0),1*Uplift*AWE*(External),0),0)</f>
        <v>0</v>
      </c>
      <c r="EU80" s="200">
        <f t="shared" si="250"/>
        <v>0</v>
      </c>
      <c r="EV80" s="201">
        <f t="shared" si="744"/>
        <v>0</v>
      </c>
      <c r="EW80" s="203">
        <f t="shared" si="340"/>
        <v>0</v>
      </c>
      <c r="EX80" s="199">
        <f t="shared" ca="1" si="745"/>
        <v>0</v>
      </c>
      <c r="EY80" s="200">
        <f t="shared" si="253"/>
        <v>0</v>
      </c>
      <c r="EZ80" s="201">
        <f t="shared" ca="1" si="746"/>
        <v>0</v>
      </c>
      <c r="FA80" s="200">
        <f t="shared" si="255"/>
        <v>0</v>
      </c>
      <c r="FB80" s="201" cm="1">
        <f t="array" ref="FB80">IF(LEFT($AG80,3)="Res",IF(OR($DQ80&gt;External_Threshold,$DG80&gt;0),1*Uplift*AWE*(External),0),0)</f>
        <v>0</v>
      </c>
      <c r="FC80" s="200">
        <f t="shared" si="256"/>
        <v>0</v>
      </c>
      <c r="FD80" s="201">
        <f t="shared" si="257"/>
        <v>0</v>
      </c>
      <c r="FE80" s="203">
        <f t="shared" si="341"/>
        <v>0</v>
      </c>
      <c r="FF80" s="199">
        <f t="shared" ca="1" si="747"/>
        <v>0</v>
      </c>
      <c r="FG80" s="200">
        <f t="shared" si="259"/>
        <v>0</v>
      </c>
      <c r="FH80" s="201">
        <f t="shared" ca="1" si="748"/>
        <v>0</v>
      </c>
      <c r="FI80" s="200">
        <f t="shared" si="261"/>
        <v>0</v>
      </c>
      <c r="FJ80" s="201" cm="1">
        <f t="array" ref="FJ80">IF(LEFT($AG80,3)="Res",IF(OR($DR80&gt;External_Threshold,$DH80&gt;0),1*Uplift*AWE*(External),0),0)</f>
        <v>0</v>
      </c>
      <c r="FK80" s="200">
        <f t="shared" si="262"/>
        <v>0</v>
      </c>
      <c r="FL80" s="201">
        <f t="shared" si="749"/>
        <v>0</v>
      </c>
      <c r="FM80" s="203">
        <f t="shared" si="342"/>
        <v>0</v>
      </c>
      <c r="FN80" s="199">
        <f t="shared" ca="1" si="750"/>
        <v>0</v>
      </c>
      <c r="FO80" s="200">
        <f t="shared" si="265"/>
        <v>0</v>
      </c>
      <c r="FP80" s="201">
        <f t="shared" ca="1" si="751"/>
        <v>0</v>
      </c>
      <c r="FQ80" s="200">
        <f t="shared" si="267"/>
        <v>0</v>
      </c>
      <c r="FR80" s="201" cm="1">
        <f t="array" ref="FR80">IF(LEFT($AG80,3)="Res",IF(OR($DS80&gt;External_Threshold,$DI80&gt;0),1*Uplift*AWE*(External),0),0)</f>
        <v>0</v>
      </c>
      <c r="FS80" s="200">
        <f t="shared" si="268"/>
        <v>0</v>
      </c>
      <c r="FT80" s="201">
        <f t="shared" si="752"/>
        <v>0</v>
      </c>
      <c r="FU80" s="203">
        <f t="shared" si="343"/>
        <v>0</v>
      </c>
      <c r="FV80" s="199">
        <f t="shared" ca="1" si="753"/>
        <v>0</v>
      </c>
      <c r="FW80" s="200">
        <f t="shared" si="271"/>
        <v>0</v>
      </c>
      <c r="FX80" s="201">
        <f t="shared" ca="1" si="754"/>
        <v>0</v>
      </c>
      <c r="FY80" s="200">
        <f t="shared" si="273"/>
        <v>0</v>
      </c>
      <c r="FZ80" s="201" cm="1">
        <f t="array" ref="FZ80">IF(LEFT($AG80,3)="Res",IF(OR($DT80&gt;External_Threshold,$DJ80&gt;0),1*Uplift*AWE*(External),0),0)</f>
        <v>0</v>
      </c>
      <c r="GA80" s="200">
        <f t="shared" si="274"/>
        <v>0</v>
      </c>
      <c r="GB80" s="201">
        <f t="shared" si="755"/>
        <v>0</v>
      </c>
      <c r="GC80" s="203">
        <f t="shared" si="344"/>
        <v>0</v>
      </c>
      <c r="GD80" s="199">
        <f t="shared" ca="1" si="756"/>
        <v>0</v>
      </c>
      <c r="GE80" s="200">
        <f t="shared" si="277"/>
        <v>0</v>
      </c>
      <c r="GF80" s="201">
        <f t="shared" ca="1" si="757"/>
        <v>0</v>
      </c>
      <c r="GG80" s="200">
        <f t="shared" si="279"/>
        <v>0</v>
      </c>
      <c r="GH80" s="201" cm="1">
        <f t="array" ref="GH80">IF(LEFT($AG80,3)="Res",IF(OR($DU80&gt;External_Threshold,$DK80&gt;0),1*Uplift*AWE*(External),0),0)</f>
        <v>0</v>
      </c>
      <c r="GI80" s="200">
        <f t="shared" si="280"/>
        <v>0</v>
      </c>
      <c r="GJ80" s="201">
        <f t="shared" si="758"/>
        <v>0</v>
      </c>
      <c r="GK80" s="203">
        <f t="shared" si="345"/>
        <v>0</v>
      </c>
      <c r="GL80" s="199">
        <f t="shared" ca="1" si="759"/>
        <v>0</v>
      </c>
      <c r="GM80" s="200">
        <f t="shared" si="283"/>
        <v>0</v>
      </c>
      <c r="GN80" s="201">
        <f t="shared" ca="1" si="760"/>
        <v>0</v>
      </c>
      <c r="GO80" s="200">
        <f t="shared" si="285"/>
        <v>0</v>
      </c>
      <c r="GP80" s="201" cm="1">
        <f t="array" ref="GP80">IF(LEFT($AG80,3)="Res",IF(OR($DV80&gt;External_Threshold,$DL80&gt;0),1*Uplift*AWE*(External),0),0)</f>
        <v>0</v>
      </c>
      <c r="GQ80" s="200">
        <f t="shared" si="286"/>
        <v>0</v>
      </c>
      <c r="GR80" s="201">
        <f t="shared" si="761"/>
        <v>0</v>
      </c>
      <c r="GS80" s="203">
        <f t="shared" si="346"/>
        <v>0</v>
      </c>
      <c r="GT80" s="199">
        <f t="shared" ca="1" si="762"/>
        <v>0</v>
      </c>
      <c r="GU80" s="200">
        <f t="shared" si="289"/>
        <v>0</v>
      </c>
      <c r="GV80" s="201">
        <f t="shared" ca="1" si="763"/>
        <v>0</v>
      </c>
      <c r="GW80" s="200">
        <f t="shared" si="291"/>
        <v>0</v>
      </c>
      <c r="GX80" s="201" cm="1">
        <f t="array" ref="GX80">IF(LEFT($AG80,3)="Res",IF(OR($DW80&gt;External_Threshold,$DM80&gt;0),1*Uplift*AWE*(External),0),0)</f>
        <v>0</v>
      </c>
      <c r="GY80" s="200">
        <f t="shared" si="292"/>
        <v>0</v>
      </c>
      <c r="GZ80" s="201">
        <f t="shared" si="764"/>
        <v>0</v>
      </c>
      <c r="HA80" s="203">
        <f t="shared" si="347"/>
        <v>0</v>
      </c>
      <c r="HB80" s="54"/>
      <c r="HC80" s="54"/>
      <c r="HD80" s="54"/>
      <c r="HE80" s="54"/>
      <c r="HF80" s="54"/>
      <c r="HG80" s="201">
        <f t="shared" ca="1" si="348"/>
        <v>206413.10430373217</v>
      </c>
      <c r="HH80" s="201">
        <f t="shared" ca="1" si="349"/>
        <v>0</v>
      </c>
      <c r="HI80" s="201">
        <f t="shared" ca="1" si="350"/>
        <v>0</v>
      </c>
      <c r="HJ80" s="201">
        <f t="shared" ca="1" si="351"/>
        <v>0</v>
      </c>
      <c r="HK80" s="201">
        <f t="shared" ca="1" si="352"/>
        <v>0</v>
      </c>
      <c r="HL80" s="201">
        <f t="shared" ca="1" si="353"/>
        <v>0</v>
      </c>
      <c r="HM80" s="201">
        <f t="shared" ca="1" si="354"/>
        <v>0</v>
      </c>
      <c r="HN80" s="201">
        <f t="shared" ca="1" si="355"/>
        <v>0</v>
      </c>
      <c r="HO80" s="201">
        <f t="shared" ca="1" si="356"/>
        <v>0</v>
      </c>
      <c r="HP80" s="201">
        <f t="shared" ca="1" si="357"/>
        <v>0</v>
      </c>
      <c r="HQ80" s="54"/>
    </row>
    <row r="81" spans="1:225" x14ac:dyDescent="0.3">
      <c r="A81" s="513">
        <v>63</v>
      </c>
      <c r="B81" s="514" t="s">
        <v>486</v>
      </c>
      <c r="C81" s="514" t="s">
        <v>390</v>
      </c>
      <c r="D81" s="514" t="s">
        <v>390</v>
      </c>
      <c r="E81" s="513">
        <v>1</v>
      </c>
      <c r="F81" s="515">
        <v>6.95</v>
      </c>
      <c r="G81" s="515">
        <v>6.35</v>
      </c>
      <c r="H81" s="513">
        <v>1</v>
      </c>
      <c r="I81" s="517">
        <v>1</v>
      </c>
      <c r="J81" s="518" t="s">
        <v>295</v>
      </c>
      <c r="K81" s="513">
        <f t="shared" si="724"/>
        <v>220</v>
      </c>
      <c r="L81" s="519">
        <v>7.74</v>
      </c>
      <c r="M81" s="519">
        <v>6.6199999999999992</v>
      </c>
      <c r="N81" s="519">
        <v>6.3199999999999994</v>
      </c>
      <c r="O81" s="519">
        <v>6.02</v>
      </c>
      <c r="P81" s="519">
        <v>5.47</v>
      </c>
      <c r="Q81" s="519">
        <v>5</v>
      </c>
      <c r="R81" s="519">
        <v>4.2</v>
      </c>
      <c r="S81" s="519">
        <v>0</v>
      </c>
      <c r="T81" s="519">
        <v>0</v>
      </c>
      <c r="U81" s="519">
        <v>0</v>
      </c>
      <c r="V81" s="536"/>
      <c r="W81" s="536"/>
      <c r="X81" s="536"/>
      <c r="Y81" s="536"/>
      <c r="Z81" s="536"/>
      <c r="AA81" s="536"/>
      <c r="AB81" s="536"/>
      <c r="AC81" s="536"/>
      <c r="AD81" s="536"/>
      <c r="AE81" s="536"/>
      <c r="AF81" s="54"/>
      <c r="AG81" s="204" t="str">
        <f t="shared" si="465"/>
        <v>Res1</v>
      </c>
      <c r="AH81" s="204">
        <f t="shared" si="294"/>
        <v>6</v>
      </c>
      <c r="AI81" s="204">
        <f t="shared" si="725"/>
        <v>1</v>
      </c>
      <c r="AJ81" s="54"/>
      <c r="AK81" s="74">
        <f>IFERROR(IF(H81&gt;4,0,AI81*Inputs!$C$55),0)</f>
        <v>2.6</v>
      </c>
      <c r="AL81" s="81">
        <f>IFERROR(Inputs!$C$73,0)</f>
        <v>5</v>
      </c>
      <c r="AM81" s="211">
        <f>IFERROR(Inputs!$C$74,0)</f>
        <v>0.24299999999999999</v>
      </c>
      <c r="AN81" s="446">
        <f>IFERROR(HLOOKUP(HLOOKUP(AN$17,$V$18:$AE81,COUNTA($AK$18:$AK81),FALSE),Inputs!$B$58:$H$59,2,FALSE),0)</f>
        <v>0</v>
      </c>
      <c r="AO81" s="447">
        <f t="shared" si="295"/>
        <v>0</v>
      </c>
      <c r="AP81" s="447">
        <f t="shared" si="296"/>
        <v>0</v>
      </c>
      <c r="AQ81" s="446">
        <f>IFERROR(HLOOKUP(HLOOKUP(AQ$17,$V$18:$AE81,COUNTA($AK$18:$AK81),FALSE),Inputs!$B$58:$H$59,2,FALSE),0)</f>
        <v>0</v>
      </c>
      <c r="AR81" s="447">
        <f t="shared" ref="AR81" si="1026">2*$AK81*AQ81*$AL81/100*$AM81</f>
        <v>0</v>
      </c>
      <c r="AS81" s="447">
        <f t="shared" si="298"/>
        <v>0</v>
      </c>
      <c r="AT81" s="446">
        <f>IFERROR(HLOOKUP(HLOOKUP(AT$17,$V$18:$AE81,COUNTA($AK$18:$AK81),FALSE),Inputs!$B$58:$H$59,2,FALSE),0)</f>
        <v>0</v>
      </c>
      <c r="AU81" s="447">
        <f t="shared" ref="AU81" si="1027">2*$AK81*AT81*$AL81/100*$AM81</f>
        <v>0</v>
      </c>
      <c r="AV81" s="447">
        <f t="shared" si="300"/>
        <v>0</v>
      </c>
      <c r="AW81" s="446">
        <f>IFERROR(HLOOKUP(HLOOKUP(AW$17,$V$18:$AE81,COUNTA($AK$18:$AK81),FALSE),Inputs!$B$58:$H$59,2,FALSE),0)</f>
        <v>0</v>
      </c>
      <c r="AX81" s="447">
        <f t="shared" ref="AX81" si="1028">2*$AK81*AW81*$AL81/100*$AM81</f>
        <v>0</v>
      </c>
      <c r="AY81" s="447">
        <f t="shared" si="302"/>
        <v>0</v>
      </c>
      <c r="AZ81" s="446">
        <f>IFERROR(HLOOKUP(HLOOKUP(AZ$17,$V$18:$AE81,COUNTA($AK$18:$AK81),FALSE),Inputs!$B$58:$H$59,2,FALSE),0)</f>
        <v>0</v>
      </c>
      <c r="BA81" s="447">
        <f t="shared" ref="BA81" si="1029">2*$AK81*AZ81*$AL81/100*$AM81</f>
        <v>0</v>
      </c>
      <c r="BB81" s="447">
        <f t="shared" si="304"/>
        <v>0</v>
      </c>
      <c r="BC81" s="446">
        <f>IFERROR(HLOOKUP(HLOOKUP(BC$17,$V$18:$AE81,COUNTA($AK$18:$AK81),FALSE),Inputs!$B$58:$H$59,2,FALSE),0)</f>
        <v>0</v>
      </c>
      <c r="BD81" s="447">
        <f t="shared" ref="BD81" si="1030">2*$AK81*BC81*$AL81/100*$AM81</f>
        <v>0</v>
      </c>
      <c r="BE81" s="447">
        <f t="shared" si="306"/>
        <v>0</v>
      </c>
      <c r="BF81" s="446">
        <f>IFERROR(HLOOKUP(HLOOKUP(BF$17,$V$18:$AE81,COUNTA($AK$18:$AK81),FALSE),Inputs!$B$58:$H$59,2,FALSE),0)</f>
        <v>0</v>
      </c>
      <c r="BG81" s="447">
        <f t="shared" ref="BG81" si="1031">2*$AK81*BF81*$AL81/100*$AM81</f>
        <v>0</v>
      </c>
      <c r="BH81" s="447">
        <f t="shared" si="308"/>
        <v>0</v>
      </c>
      <c r="BI81" s="446">
        <f>IFERROR(HLOOKUP(HLOOKUP(BI$17,$V$18:$AE81,COUNTA($AK$18:$AK81),FALSE),Inputs!$B$58:$H$59,2,FALSE),0)</f>
        <v>0</v>
      </c>
      <c r="BJ81" s="447">
        <f t="shared" ref="BJ81" si="1032">2*$AK81*BI81*$AL81/100*$AM81</f>
        <v>0</v>
      </c>
      <c r="BK81" s="447">
        <f t="shared" si="310"/>
        <v>0</v>
      </c>
      <c r="BL81" s="446">
        <f>IFERROR(HLOOKUP(HLOOKUP(BL$17,$V$18:$AE81,COUNTA($AK$18:$AK81),FALSE),Inputs!$B$58:$H$59,2,FALSE),0)</f>
        <v>0</v>
      </c>
      <c r="BM81" s="447">
        <f t="shared" ref="BM81" si="1033">2*$AK81*BL81*$AL81/100*$AM81</f>
        <v>0</v>
      </c>
      <c r="BN81" s="447">
        <f t="shared" si="312"/>
        <v>0</v>
      </c>
      <c r="BO81" s="446">
        <f>IFERROR(HLOOKUP(HLOOKUP(BO$17,$V$18:$AE81,COUNTA($AK$18:$AK81),FALSE),Inputs!$B$58:$H$59,2,FALSE),0)</f>
        <v>0</v>
      </c>
      <c r="BP81" s="447">
        <f t="shared" ref="BP81" si="1034">2*$AK81*BO81*$AL81/100*$AM81</f>
        <v>0</v>
      </c>
      <c r="BQ81" s="447">
        <f t="shared" si="314"/>
        <v>0</v>
      </c>
      <c r="BR81" s="54"/>
      <c r="BS81" s="103">
        <f t="shared" ca="1" si="735"/>
        <v>114.54251367583214</v>
      </c>
      <c r="BT81" s="103">
        <f t="shared" ca="1" si="396"/>
        <v>94.94161683776953</v>
      </c>
      <c r="BU81" s="103">
        <f t="shared" si="397"/>
        <v>15.403780752532562</v>
      </c>
      <c r="BV81" s="103">
        <f t="shared" si="398"/>
        <v>0</v>
      </c>
      <c r="BW81" s="152">
        <f t="shared" ca="1" si="399"/>
        <v>224.88791126613421</v>
      </c>
      <c r="BX81" s="441"/>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188">
        <f t="shared" si="315"/>
        <v>0.79</v>
      </c>
      <c r="DE81" s="188">
        <f t="shared" si="316"/>
        <v>-0.3</v>
      </c>
      <c r="DF81" s="188">
        <f t="shared" si="317"/>
        <v>-0.3</v>
      </c>
      <c r="DG81" s="188">
        <f t="shared" si="318"/>
        <v>-0.3</v>
      </c>
      <c r="DH81" s="188">
        <f t="shared" si="319"/>
        <v>-0.3</v>
      </c>
      <c r="DI81" s="188">
        <f t="shared" si="320"/>
        <v>-0.3</v>
      </c>
      <c r="DJ81" s="188">
        <f t="shared" si="321"/>
        <v>-0.3</v>
      </c>
      <c r="DK81" s="188">
        <f t="shared" si="322"/>
        <v>-0.3</v>
      </c>
      <c r="DL81" s="188">
        <f t="shared" si="323"/>
        <v>-0.3</v>
      </c>
      <c r="DM81" s="188">
        <f t="shared" si="324"/>
        <v>-0.3</v>
      </c>
      <c r="DN81" s="189">
        <f t="shared" si="325"/>
        <v>1.3900000000000006</v>
      </c>
      <c r="DO81" s="189">
        <f t="shared" si="326"/>
        <v>0.26999999999999957</v>
      </c>
      <c r="DP81" s="189">
        <f t="shared" si="327"/>
        <v>0</v>
      </c>
      <c r="DQ81" s="189">
        <f t="shared" si="328"/>
        <v>0</v>
      </c>
      <c r="DR81" s="189">
        <f t="shared" si="329"/>
        <v>0</v>
      </c>
      <c r="DS81" s="189">
        <f t="shared" si="330"/>
        <v>0</v>
      </c>
      <c r="DT81" s="189">
        <f t="shared" si="331"/>
        <v>0</v>
      </c>
      <c r="DU81" s="189">
        <f t="shared" si="332"/>
        <v>0</v>
      </c>
      <c r="DV81" s="189">
        <f t="shared" si="333"/>
        <v>0</v>
      </c>
      <c r="DW81" s="189">
        <f t="shared" si="334"/>
        <v>0</v>
      </c>
      <c r="DX81" s="54"/>
      <c r="DY81" s="54"/>
      <c r="DZ81" s="199">
        <f t="shared" ca="1" si="736"/>
        <v>115118.10419681622</v>
      </c>
      <c r="EA81" s="200">
        <f t="shared" si="335"/>
        <v>1</v>
      </c>
      <c r="EB81" s="201">
        <f t="shared" ca="1" si="737"/>
        <v>95418.710389718122</v>
      </c>
      <c r="EC81" s="200">
        <f t="shared" si="336"/>
        <v>1</v>
      </c>
      <c r="ED81" s="201" cm="1">
        <f t="array" ref="ED81">IF(LEFT($AG81,3)="Res",IF(OR($DN81&gt;External_Threshold,$DD81&gt;0),1*Uplift*AWE*(External),0),0)</f>
        <v>15481.186685962373</v>
      </c>
      <c r="EE81" s="200">
        <f t="shared" si="337"/>
        <v>1</v>
      </c>
      <c r="EF81" s="201">
        <f t="shared" si="738"/>
        <v>0</v>
      </c>
      <c r="EG81" s="203">
        <f t="shared" si="338"/>
        <v>0</v>
      </c>
      <c r="EH81" s="199">
        <f t="shared" ca="1" si="739"/>
        <v>0</v>
      </c>
      <c r="EI81" s="200">
        <f t="shared" si="241"/>
        <v>0</v>
      </c>
      <c r="EJ81" s="201">
        <f t="shared" ca="1" si="740"/>
        <v>0</v>
      </c>
      <c r="EK81" s="200">
        <f t="shared" si="243"/>
        <v>0</v>
      </c>
      <c r="EL81" s="201" cm="1">
        <f t="array" ref="EL81">IF(LEFT($AG81,3)="Res",IF(OR($DO81&gt;External_Threshold,$DE81&gt;0),1*Uplift*AWE*(External),0),0)</f>
        <v>0</v>
      </c>
      <c r="EM81" s="200">
        <f t="shared" si="244"/>
        <v>1</v>
      </c>
      <c r="EN81" s="201">
        <f t="shared" si="741"/>
        <v>0</v>
      </c>
      <c r="EO81" s="203">
        <f t="shared" si="339"/>
        <v>0</v>
      </c>
      <c r="EP81" s="199">
        <f t="shared" ca="1" si="742"/>
        <v>0</v>
      </c>
      <c r="EQ81" s="200">
        <f t="shared" si="247"/>
        <v>0</v>
      </c>
      <c r="ER81" s="201">
        <f t="shared" ca="1" si="743"/>
        <v>0</v>
      </c>
      <c r="ES81" s="200">
        <f t="shared" si="249"/>
        <v>0</v>
      </c>
      <c r="ET81" s="201" cm="1">
        <f t="array" ref="ET81">IF(LEFT($AG81,3)="Res",IF(OR($DP81&gt;External_Threshold,$DF81&gt;0),1*Uplift*AWE*(External),0),0)</f>
        <v>0</v>
      </c>
      <c r="EU81" s="200">
        <f t="shared" si="250"/>
        <v>0</v>
      </c>
      <c r="EV81" s="201">
        <f t="shared" si="744"/>
        <v>0</v>
      </c>
      <c r="EW81" s="203">
        <f t="shared" si="340"/>
        <v>0</v>
      </c>
      <c r="EX81" s="199">
        <f t="shared" ca="1" si="745"/>
        <v>0</v>
      </c>
      <c r="EY81" s="200">
        <f t="shared" si="253"/>
        <v>0</v>
      </c>
      <c r="EZ81" s="201">
        <f t="shared" ca="1" si="746"/>
        <v>0</v>
      </c>
      <c r="FA81" s="200">
        <f t="shared" si="255"/>
        <v>0</v>
      </c>
      <c r="FB81" s="201" cm="1">
        <f t="array" ref="FB81">IF(LEFT($AG81,3)="Res",IF(OR($DQ81&gt;External_Threshold,$DG81&gt;0),1*Uplift*AWE*(External),0),0)</f>
        <v>0</v>
      </c>
      <c r="FC81" s="200">
        <f t="shared" si="256"/>
        <v>0</v>
      </c>
      <c r="FD81" s="201">
        <f t="shared" si="257"/>
        <v>0</v>
      </c>
      <c r="FE81" s="203">
        <f t="shared" si="341"/>
        <v>0</v>
      </c>
      <c r="FF81" s="199">
        <f t="shared" ca="1" si="747"/>
        <v>0</v>
      </c>
      <c r="FG81" s="200">
        <f t="shared" si="259"/>
        <v>0</v>
      </c>
      <c r="FH81" s="201">
        <f t="shared" ca="1" si="748"/>
        <v>0</v>
      </c>
      <c r="FI81" s="200">
        <f t="shared" si="261"/>
        <v>0</v>
      </c>
      <c r="FJ81" s="201" cm="1">
        <f t="array" ref="FJ81">IF(LEFT($AG81,3)="Res",IF(OR($DR81&gt;External_Threshold,$DH81&gt;0),1*Uplift*AWE*(External),0),0)</f>
        <v>0</v>
      </c>
      <c r="FK81" s="200">
        <f t="shared" si="262"/>
        <v>0</v>
      </c>
      <c r="FL81" s="201">
        <f t="shared" si="749"/>
        <v>0</v>
      </c>
      <c r="FM81" s="203">
        <f t="shared" si="342"/>
        <v>0</v>
      </c>
      <c r="FN81" s="199">
        <f t="shared" ca="1" si="750"/>
        <v>0</v>
      </c>
      <c r="FO81" s="200">
        <f t="shared" si="265"/>
        <v>0</v>
      </c>
      <c r="FP81" s="201">
        <f t="shared" ca="1" si="751"/>
        <v>0</v>
      </c>
      <c r="FQ81" s="200">
        <f t="shared" si="267"/>
        <v>0</v>
      </c>
      <c r="FR81" s="201" cm="1">
        <f t="array" ref="FR81">IF(LEFT($AG81,3)="Res",IF(OR($DS81&gt;External_Threshold,$DI81&gt;0),1*Uplift*AWE*(External),0),0)</f>
        <v>0</v>
      </c>
      <c r="FS81" s="200">
        <f t="shared" si="268"/>
        <v>0</v>
      </c>
      <c r="FT81" s="201">
        <f t="shared" si="752"/>
        <v>0</v>
      </c>
      <c r="FU81" s="203">
        <f t="shared" si="343"/>
        <v>0</v>
      </c>
      <c r="FV81" s="199">
        <f t="shared" ca="1" si="753"/>
        <v>0</v>
      </c>
      <c r="FW81" s="200">
        <f t="shared" si="271"/>
        <v>0</v>
      </c>
      <c r="FX81" s="201">
        <f t="shared" ca="1" si="754"/>
        <v>0</v>
      </c>
      <c r="FY81" s="200">
        <f t="shared" si="273"/>
        <v>0</v>
      </c>
      <c r="FZ81" s="201" cm="1">
        <f t="array" ref="FZ81">IF(LEFT($AG81,3)="Res",IF(OR($DT81&gt;External_Threshold,$DJ81&gt;0),1*Uplift*AWE*(External),0),0)</f>
        <v>0</v>
      </c>
      <c r="GA81" s="200">
        <f t="shared" si="274"/>
        <v>0</v>
      </c>
      <c r="GB81" s="201">
        <f t="shared" si="755"/>
        <v>0</v>
      </c>
      <c r="GC81" s="203">
        <f t="shared" si="344"/>
        <v>0</v>
      </c>
      <c r="GD81" s="199">
        <f t="shared" ca="1" si="756"/>
        <v>0</v>
      </c>
      <c r="GE81" s="200">
        <f t="shared" si="277"/>
        <v>0</v>
      </c>
      <c r="GF81" s="201">
        <f t="shared" ca="1" si="757"/>
        <v>0</v>
      </c>
      <c r="GG81" s="200">
        <f t="shared" si="279"/>
        <v>0</v>
      </c>
      <c r="GH81" s="201" cm="1">
        <f t="array" ref="GH81">IF(LEFT($AG81,3)="Res",IF(OR($DU81&gt;External_Threshold,$DK81&gt;0),1*Uplift*AWE*(External),0),0)</f>
        <v>0</v>
      </c>
      <c r="GI81" s="200">
        <f t="shared" si="280"/>
        <v>0</v>
      </c>
      <c r="GJ81" s="201">
        <f t="shared" si="758"/>
        <v>0</v>
      </c>
      <c r="GK81" s="203">
        <f t="shared" si="345"/>
        <v>0</v>
      </c>
      <c r="GL81" s="199">
        <f t="shared" ca="1" si="759"/>
        <v>0</v>
      </c>
      <c r="GM81" s="200">
        <f t="shared" si="283"/>
        <v>0</v>
      </c>
      <c r="GN81" s="201">
        <f t="shared" ca="1" si="760"/>
        <v>0</v>
      </c>
      <c r="GO81" s="200">
        <f t="shared" si="285"/>
        <v>0</v>
      </c>
      <c r="GP81" s="201" cm="1">
        <f t="array" ref="GP81">IF(LEFT($AG81,3)="Res",IF(OR($DV81&gt;External_Threshold,$DL81&gt;0),1*Uplift*AWE*(External),0),0)</f>
        <v>0</v>
      </c>
      <c r="GQ81" s="200">
        <f t="shared" si="286"/>
        <v>0</v>
      </c>
      <c r="GR81" s="201">
        <f t="shared" si="761"/>
        <v>0</v>
      </c>
      <c r="GS81" s="203">
        <f t="shared" si="346"/>
        <v>0</v>
      </c>
      <c r="GT81" s="199">
        <f t="shared" ca="1" si="762"/>
        <v>0</v>
      </c>
      <c r="GU81" s="200">
        <f t="shared" si="289"/>
        <v>0</v>
      </c>
      <c r="GV81" s="201">
        <f t="shared" ca="1" si="763"/>
        <v>0</v>
      </c>
      <c r="GW81" s="200">
        <f t="shared" si="291"/>
        <v>0</v>
      </c>
      <c r="GX81" s="201" cm="1">
        <f t="array" ref="GX81">IF(LEFT($AG81,3)="Res",IF(OR($DW81&gt;External_Threshold,$DM81&gt;0),1*Uplift*AWE*(External),0),0)</f>
        <v>0</v>
      </c>
      <c r="GY81" s="200">
        <f t="shared" si="292"/>
        <v>0</v>
      </c>
      <c r="GZ81" s="201">
        <f t="shared" si="764"/>
        <v>0</v>
      </c>
      <c r="HA81" s="203">
        <f t="shared" si="347"/>
        <v>0</v>
      </c>
      <c r="HB81" s="54"/>
      <c r="HC81" s="54"/>
      <c r="HD81" s="54"/>
      <c r="HE81" s="54"/>
      <c r="HF81" s="54"/>
      <c r="HG81" s="201">
        <f t="shared" ca="1" si="348"/>
        <v>226018.00127249671</v>
      </c>
      <c r="HH81" s="201">
        <f t="shared" ca="1" si="349"/>
        <v>0</v>
      </c>
      <c r="HI81" s="201">
        <f t="shared" ca="1" si="350"/>
        <v>0</v>
      </c>
      <c r="HJ81" s="201">
        <f t="shared" ca="1" si="351"/>
        <v>0</v>
      </c>
      <c r="HK81" s="201">
        <f t="shared" ca="1" si="352"/>
        <v>0</v>
      </c>
      <c r="HL81" s="201">
        <f t="shared" ca="1" si="353"/>
        <v>0</v>
      </c>
      <c r="HM81" s="201">
        <f t="shared" ca="1" si="354"/>
        <v>0</v>
      </c>
      <c r="HN81" s="201">
        <f t="shared" ca="1" si="355"/>
        <v>0</v>
      </c>
      <c r="HO81" s="201">
        <f t="shared" ca="1" si="356"/>
        <v>0</v>
      </c>
      <c r="HP81" s="201">
        <f t="shared" ca="1" si="357"/>
        <v>0</v>
      </c>
      <c r="HQ81" s="54"/>
    </row>
    <row r="82" spans="1:225" x14ac:dyDescent="0.3">
      <c r="A82" s="513">
        <v>64</v>
      </c>
      <c r="B82" s="514" t="s">
        <v>487</v>
      </c>
      <c r="C82" s="514" t="s">
        <v>390</v>
      </c>
      <c r="D82" s="514" t="s">
        <v>390</v>
      </c>
      <c r="E82" s="513">
        <v>1</v>
      </c>
      <c r="F82" s="515">
        <v>7.16</v>
      </c>
      <c r="G82" s="515">
        <v>6.34</v>
      </c>
      <c r="H82" s="513">
        <v>1</v>
      </c>
      <c r="I82" s="517">
        <v>1</v>
      </c>
      <c r="J82" s="518" t="s">
        <v>137</v>
      </c>
      <c r="K82" s="513">
        <f t="shared" si="724"/>
        <v>160</v>
      </c>
      <c r="L82" s="519">
        <v>7.74</v>
      </c>
      <c r="M82" s="519">
        <v>6.6199999999999992</v>
      </c>
      <c r="N82" s="519">
        <v>6.3199999999999994</v>
      </c>
      <c r="O82" s="519">
        <v>6.02</v>
      </c>
      <c r="P82" s="519">
        <v>5.47</v>
      </c>
      <c r="Q82" s="519">
        <v>5</v>
      </c>
      <c r="R82" s="519">
        <v>4.2</v>
      </c>
      <c r="S82" s="519">
        <v>0</v>
      </c>
      <c r="T82" s="519">
        <v>0</v>
      </c>
      <c r="U82" s="519">
        <v>0</v>
      </c>
      <c r="V82" s="536"/>
      <c r="W82" s="536"/>
      <c r="X82" s="536"/>
      <c r="Y82" s="536"/>
      <c r="Z82" s="536"/>
      <c r="AA82" s="536"/>
      <c r="AB82" s="536"/>
      <c r="AC82" s="536"/>
      <c r="AD82" s="536"/>
      <c r="AE82" s="536"/>
      <c r="AF82" s="54"/>
      <c r="AG82" s="204" t="str">
        <f t="shared" si="465"/>
        <v>Res1</v>
      </c>
      <c r="AH82" s="204">
        <f t="shared" si="294"/>
        <v>7</v>
      </c>
      <c r="AI82" s="204">
        <f t="shared" si="725"/>
        <v>1</v>
      </c>
      <c r="AJ82" s="54"/>
      <c r="AK82" s="74">
        <f>IFERROR(IF(H82&gt;4,0,AI82*Inputs!$C$55),0)</f>
        <v>2.6</v>
      </c>
      <c r="AL82" s="81">
        <f>IFERROR(Inputs!$C$73,0)</f>
        <v>5</v>
      </c>
      <c r="AM82" s="211">
        <f>IFERROR(Inputs!$C$74,0)</f>
        <v>0.24299999999999999</v>
      </c>
      <c r="AN82" s="446">
        <f>IFERROR(HLOOKUP(HLOOKUP(AN$17,$V$18:$AE82,COUNTA($AK$18:$AK82),FALSE),Inputs!$B$58:$H$59,2,FALSE),0)</f>
        <v>0</v>
      </c>
      <c r="AO82" s="447">
        <f t="shared" si="295"/>
        <v>0</v>
      </c>
      <c r="AP82" s="447">
        <f t="shared" si="296"/>
        <v>0</v>
      </c>
      <c r="AQ82" s="446">
        <f>IFERROR(HLOOKUP(HLOOKUP(AQ$17,$V$18:$AE82,COUNTA($AK$18:$AK82),FALSE),Inputs!$B$58:$H$59,2,FALSE),0)</f>
        <v>0</v>
      </c>
      <c r="AR82" s="447">
        <f t="shared" ref="AR82" si="1035">2*$AK82*AQ82*$AL82/100*$AM82</f>
        <v>0</v>
      </c>
      <c r="AS82" s="447">
        <f t="shared" si="298"/>
        <v>0</v>
      </c>
      <c r="AT82" s="446">
        <f>IFERROR(HLOOKUP(HLOOKUP(AT$17,$V$18:$AE82,COUNTA($AK$18:$AK82),FALSE),Inputs!$B$58:$H$59,2,FALSE),0)</f>
        <v>0</v>
      </c>
      <c r="AU82" s="447">
        <f t="shared" ref="AU82" si="1036">2*$AK82*AT82*$AL82/100*$AM82</f>
        <v>0</v>
      </c>
      <c r="AV82" s="447">
        <f t="shared" si="300"/>
        <v>0</v>
      </c>
      <c r="AW82" s="446">
        <f>IFERROR(HLOOKUP(HLOOKUP(AW$17,$V$18:$AE82,COUNTA($AK$18:$AK82),FALSE),Inputs!$B$58:$H$59,2,FALSE),0)</f>
        <v>0</v>
      </c>
      <c r="AX82" s="447">
        <f t="shared" ref="AX82" si="1037">2*$AK82*AW82*$AL82/100*$AM82</f>
        <v>0</v>
      </c>
      <c r="AY82" s="447">
        <f t="shared" si="302"/>
        <v>0</v>
      </c>
      <c r="AZ82" s="446">
        <f>IFERROR(HLOOKUP(HLOOKUP(AZ$17,$V$18:$AE82,COUNTA($AK$18:$AK82),FALSE),Inputs!$B$58:$H$59,2,FALSE),0)</f>
        <v>0</v>
      </c>
      <c r="BA82" s="447">
        <f t="shared" ref="BA82" si="1038">2*$AK82*AZ82*$AL82/100*$AM82</f>
        <v>0</v>
      </c>
      <c r="BB82" s="447">
        <f t="shared" si="304"/>
        <v>0</v>
      </c>
      <c r="BC82" s="446">
        <f>IFERROR(HLOOKUP(HLOOKUP(BC$17,$V$18:$AE82,COUNTA($AK$18:$AK82),FALSE),Inputs!$B$58:$H$59,2,FALSE),0)</f>
        <v>0</v>
      </c>
      <c r="BD82" s="447">
        <f t="shared" ref="BD82" si="1039">2*$AK82*BC82*$AL82/100*$AM82</f>
        <v>0</v>
      </c>
      <c r="BE82" s="447">
        <f t="shared" si="306"/>
        <v>0</v>
      </c>
      <c r="BF82" s="446">
        <f>IFERROR(HLOOKUP(HLOOKUP(BF$17,$V$18:$AE82,COUNTA($AK$18:$AK82),FALSE),Inputs!$B$58:$H$59,2,FALSE),0)</f>
        <v>0</v>
      </c>
      <c r="BG82" s="447">
        <f t="shared" ref="BG82" si="1040">2*$AK82*BF82*$AL82/100*$AM82</f>
        <v>0</v>
      </c>
      <c r="BH82" s="447">
        <f t="shared" si="308"/>
        <v>0</v>
      </c>
      <c r="BI82" s="446">
        <f>IFERROR(HLOOKUP(HLOOKUP(BI$17,$V$18:$AE82,COUNTA($AK$18:$AK82),FALSE),Inputs!$B$58:$H$59,2,FALSE),0)</f>
        <v>0</v>
      </c>
      <c r="BJ82" s="447">
        <f t="shared" ref="BJ82" si="1041">2*$AK82*BI82*$AL82/100*$AM82</f>
        <v>0</v>
      </c>
      <c r="BK82" s="447">
        <f t="shared" si="310"/>
        <v>0</v>
      </c>
      <c r="BL82" s="446">
        <f>IFERROR(HLOOKUP(HLOOKUP(BL$17,$V$18:$AE82,COUNTA($AK$18:$AK82),FALSE),Inputs!$B$58:$H$59,2,FALSE),0)</f>
        <v>0</v>
      </c>
      <c r="BM82" s="447">
        <f t="shared" ref="BM82" si="1042">2*$AK82*BL82*$AL82/100*$AM82</f>
        <v>0</v>
      </c>
      <c r="BN82" s="447">
        <f t="shared" si="312"/>
        <v>0</v>
      </c>
      <c r="BO82" s="446">
        <f>IFERROR(HLOOKUP(HLOOKUP(BO$17,$V$18:$AE82,COUNTA($AK$18:$AK82),FALSE),Inputs!$B$58:$H$59,2,FALSE),0)</f>
        <v>0</v>
      </c>
      <c r="BP82" s="447">
        <f t="shared" ref="BP82" si="1043">2*$AK82*BO82*$AL82/100*$AM82</f>
        <v>0</v>
      </c>
      <c r="BQ82" s="447">
        <f t="shared" si="314"/>
        <v>0</v>
      </c>
      <c r="BR82" s="54"/>
      <c r="BS82" s="103">
        <f t="shared" ca="1" si="735"/>
        <v>101.26958926073323</v>
      </c>
      <c r="BT82" s="103">
        <f t="shared" ca="1" si="396"/>
        <v>77.327853650431194</v>
      </c>
      <c r="BU82" s="103">
        <f t="shared" si="397"/>
        <v>15.403780752532562</v>
      </c>
      <c r="BV82" s="103">
        <f t="shared" si="398"/>
        <v>0</v>
      </c>
      <c r="BW82" s="152">
        <f t="shared" ca="1" si="399"/>
        <v>194.00122366369698</v>
      </c>
      <c r="BX82" s="441"/>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188">
        <f t="shared" si="315"/>
        <v>0.58000000000000007</v>
      </c>
      <c r="DE82" s="188">
        <f t="shared" si="316"/>
        <v>-0.3</v>
      </c>
      <c r="DF82" s="188">
        <f t="shared" si="317"/>
        <v>-0.3</v>
      </c>
      <c r="DG82" s="188">
        <f t="shared" si="318"/>
        <v>-0.3</v>
      </c>
      <c r="DH82" s="188">
        <f t="shared" si="319"/>
        <v>-0.3</v>
      </c>
      <c r="DI82" s="188">
        <f t="shared" si="320"/>
        <v>-0.3</v>
      </c>
      <c r="DJ82" s="188">
        <f t="shared" si="321"/>
        <v>-0.3</v>
      </c>
      <c r="DK82" s="188">
        <f t="shared" si="322"/>
        <v>-0.3</v>
      </c>
      <c r="DL82" s="188">
        <f t="shared" si="323"/>
        <v>-0.3</v>
      </c>
      <c r="DM82" s="188">
        <f t="shared" si="324"/>
        <v>-0.3</v>
      </c>
      <c r="DN82" s="189">
        <f t="shared" si="325"/>
        <v>1.4000000000000004</v>
      </c>
      <c r="DO82" s="189">
        <f t="shared" si="326"/>
        <v>0.27999999999999936</v>
      </c>
      <c r="DP82" s="189">
        <f t="shared" si="327"/>
        <v>0</v>
      </c>
      <c r="DQ82" s="189">
        <f t="shared" si="328"/>
        <v>0</v>
      </c>
      <c r="DR82" s="189">
        <f t="shared" si="329"/>
        <v>0</v>
      </c>
      <c r="DS82" s="189">
        <f t="shared" si="330"/>
        <v>0</v>
      </c>
      <c r="DT82" s="189">
        <f t="shared" si="331"/>
        <v>0</v>
      </c>
      <c r="DU82" s="189">
        <f t="shared" si="332"/>
        <v>0</v>
      </c>
      <c r="DV82" s="189">
        <f t="shared" si="333"/>
        <v>0</v>
      </c>
      <c r="DW82" s="189">
        <f t="shared" si="334"/>
        <v>0</v>
      </c>
      <c r="DX82" s="54"/>
      <c r="DY82" s="54"/>
      <c r="DZ82" s="199">
        <f t="shared" ca="1" si="736"/>
        <v>101778.48166907862</v>
      </c>
      <c r="EA82" s="200">
        <f t="shared" si="335"/>
        <v>1</v>
      </c>
      <c r="EB82" s="201">
        <f t="shared" ca="1" si="737"/>
        <v>77716.435829579088</v>
      </c>
      <c r="EC82" s="200">
        <f t="shared" si="336"/>
        <v>1</v>
      </c>
      <c r="ED82" s="201" cm="1">
        <f t="array" ref="ED82">IF(LEFT($AG82,3)="Res",IF(OR($DN82&gt;External_Threshold,$DD82&gt;0),1*Uplift*AWE*(External),0),0)</f>
        <v>15481.186685962373</v>
      </c>
      <c r="EE82" s="200">
        <f t="shared" si="337"/>
        <v>1</v>
      </c>
      <c r="EF82" s="201">
        <f t="shared" si="738"/>
        <v>0</v>
      </c>
      <c r="EG82" s="203">
        <f t="shared" si="338"/>
        <v>0</v>
      </c>
      <c r="EH82" s="199">
        <f t="shared" ca="1" si="739"/>
        <v>0</v>
      </c>
      <c r="EI82" s="200">
        <f t="shared" si="241"/>
        <v>0</v>
      </c>
      <c r="EJ82" s="201">
        <f t="shared" ca="1" si="740"/>
        <v>0</v>
      </c>
      <c r="EK82" s="200">
        <f t="shared" si="243"/>
        <v>0</v>
      </c>
      <c r="EL82" s="201" cm="1">
        <f t="array" ref="EL82">IF(LEFT($AG82,3)="Res",IF(OR($DO82&gt;External_Threshold,$DE82&gt;0),1*Uplift*AWE*(External),0),0)</f>
        <v>0</v>
      </c>
      <c r="EM82" s="200">
        <f t="shared" si="244"/>
        <v>1</v>
      </c>
      <c r="EN82" s="201">
        <f t="shared" si="741"/>
        <v>0</v>
      </c>
      <c r="EO82" s="203">
        <f t="shared" si="339"/>
        <v>0</v>
      </c>
      <c r="EP82" s="199">
        <f t="shared" ca="1" si="742"/>
        <v>0</v>
      </c>
      <c r="EQ82" s="200">
        <f t="shared" si="247"/>
        <v>0</v>
      </c>
      <c r="ER82" s="201">
        <f t="shared" ca="1" si="743"/>
        <v>0</v>
      </c>
      <c r="ES82" s="200">
        <f t="shared" si="249"/>
        <v>0</v>
      </c>
      <c r="ET82" s="201" cm="1">
        <f t="array" ref="ET82">IF(LEFT($AG82,3)="Res",IF(OR($DP82&gt;External_Threshold,$DF82&gt;0),1*Uplift*AWE*(External),0),0)</f>
        <v>0</v>
      </c>
      <c r="EU82" s="200">
        <f t="shared" si="250"/>
        <v>0</v>
      </c>
      <c r="EV82" s="201">
        <f t="shared" si="744"/>
        <v>0</v>
      </c>
      <c r="EW82" s="203">
        <f t="shared" si="340"/>
        <v>0</v>
      </c>
      <c r="EX82" s="199">
        <f t="shared" ca="1" si="745"/>
        <v>0</v>
      </c>
      <c r="EY82" s="200">
        <f t="shared" si="253"/>
        <v>0</v>
      </c>
      <c r="EZ82" s="201">
        <f t="shared" ca="1" si="746"/>
        <v>0</v>
      </c>
      <c r="FA82" s="200">
        <f t="shared" si="255"/>
        <v>0</v>
      </c>
      <c r="FB82" s="201" cm="1">
        <f t="array" ref="FB82">IF(LEFT($AG82,3)="Res",IF(OR($DQ82&gt;External_Threshold,$DG82&gt;0),1*Uplift*AWE*(External),0),0)</f>
        <v>0</v>
      </c>
      <c r="FC82" s="200">
        <f t="shared" si="256"/>
        <v>0</v>
      </c>
      <c r="FD82" s="201">
        <f t="shared" si="257"/>
        <v>0</v>
      </c>
      <c r="FE82" s="203">
        <f t="shared" si="341"/>
        <v>0</v>
      </c>
      <c r="FF82" s="199">
        <f t="shared" ca="1" si="747"/>
        <v>0</v>
      </c>
      <c r="FG82" s="200">
        <f t="shared" si="259"/>
        <v>0</v>
      </c>
      <c r="FH82" s="201">
        <f t="shared" ca="1" si="748"/>
        <v>0</v>
      </c>
      <c r="FI82" s="200">
        <f t="shared" si="261"/>
        <v>0</v>
      </c>
      <c r="FJ82" s="201" cm="1">
        <f t="array" ref="FJ82">IF(LEFT($AG82,3)="Res",IF(OR($DR82&gt;External_Threshold,$DH82&gt;0),1*Uplift*AWE*(External),0),0)</f>
        <v>0</v>
      </c>
      <c r="FK82" s="200">
        <f t="shared" si="262"/>
        <v>0</v>
      </c>
      <c r="FL82" s="201">
        <f t="shared" si="749"/>
        <v>0</v>
      </c>
      <c r="FM82" s="203">
        <f t="shared" si="342"/>
        <v>0</v>
      </c>
      <c r="FN82" s="199">
        <f t="shared" ca="1" si="750"/>
        <v>0</v>
      </c>
      <c r="FO82" s="200">
        <f t="shared" si="265"/>
        <v>0</v>
      </c>
      <c r="FP82" s="201">
        <f t="shared" ca="1" si="751"/>
        <v>0</v>
      </c>
      <c r="FQ82" s="200">
        <f t="shared" si="267"/>
        <v>0</v>
      </c>
      <c r="FR82" s="201" cm="1">
        <f t="array" ref="FR82">IF(LEFT($AG82,3)="Res",IF(OR($DS82&gt;External_Threshold,$DI82&gt;0),1*Uplift*AWE*(External),0),0)</f>
        <v>0</v>
      </c>
      <c r="FS82" s="200">
        <f t="shared" si="268"/>
        <v>0</v>
      </c>
      <c r="FT82" s="201">
        <f t="shared" si="752"/>
        <v>0</v>
      </c>
      <c r="FU82" s="203">
        <f t="shared" si="343"/>
        <v>0</v>
      </c>
      <c r="FV82" s="199">
        <f t="shared" ca="1" si="753"/>
        <v>0</v>
      </c>
      <c r="FW82" s="200">
        <f t="shared" si="271"/>
        <v>0</v>
      </c>
      <c r="FX82" s="201">
        <f t="shared" ca="1" si="754"/>
        <v>0</v>
      </c>
      <c r="FY82" s="200">
        <f t="shared" si="273"/>
        <v>0</v>
      </c>
      <c r="FZ82" s="201" cm="1">
        <f t="array" ref="FZ82">IF(LEFT($AG82,3)="Res",IF(OR($DT82&gt;External_Threshold,$DJ82&gt;0),1*Uplift*AWE*(External),0),0)</f>
        <v>0</v>
      </c>
      <c r="GA82" s="200">
        <f t="shared" si="274"/>
        <v>0</v>
      </c>
      <c r="GB82" s="201">
        <f t="shared" si="755"/>
        <v>0</v>
      </c>
      <c r="GC82" s="203">
        <f t="shared" si="344"/>
        <v>0</v>
      </c>
      <c r="GD82" s="199">
        <f t="shared" ca="1" si="756"/>
        <v>0</v>
      </c>
      <c r="GE82" s="200">
        <f t="shared" si="277"/>
        <v>0</v>
      </c>
      <c r="GF82" s="201">
        <f t="shared" ca="1" si="757"/>
        <v>0</v>
      </c>
      <c r="GG82" s="200">
        <f t="shared" si="279"/>
        <v>0</v>
      </c>
      <c r="GH82" s="201" cm="1">
        <f t="array" ref="GH82">IF(LEFT($AG82,3)="Res",IF(OR($DU82&gt;External_Threshold,$DK82&gt;0),1*Uplift*AWE*(External),0),0)</f>
        <v>0</v>
      </c>
      <c r="GI82" s="200">
        <f t="shared" si="280"/>
        <v>0</v>
      </c>
      <c r="GJ82" s="201">
        <f t="shared" si="758"/>
        <v>0</v>
      </c>
      <c r="GK82" s="203">
        <f t="shared" si="345"/>
        <v>0</v>
      </c>
      <c r="GL82" s="199">
        <f t="shared" ca="1" si="759"/>
        <v>0</v>
      </c>
      <c r="GM82" s="200">
        <f t="shared" si="283"/>
        <v>0</v>
      </c>
      <c r="GN82" s="201">
        <f t="shared" ca="1" si="760"/>
        <v>0</v>
      </c>
      <c r="GO82" s="200">
        <f t="shared" si="285"/>
        <v>0</v>
      </c>
      <c r="GP82" s="201" cm="1">
        <f t="array" ref="GP82">IF(LEFT($AG82,3)="Res",IF(OR($DV82&gt;External_Threshold,$DL82&gt;0),1*Uplift*AWE*(External),0),0)</f>
        <v>0</v>
      </c>
      <c r="GQ82" s="200">
        <f t="shared" si="286"/>
        <v>0</v>
      </c>
      <c r="GR82" s="201">
        <f t="shared" si="761"/>
        <v>0</v>
      </c>
      <c r="GS82" s="203">
        <f t="shared" si="346"/>
        <v>0</v>
      </c>
      <c r="GT82" s="199">
        <f t="shared" ca="1" si="762"/>
        <v>0</v>
      </c>
      <c r="GU82" s="200">
        <f t="shared" si="289"/>
        <v>0</v>
      </c>
      <c r="GV82" s="201">
        <f t="shared" ca="1" si="763"/>
        <v>0</v>
      </c>
      <c r="GW82" s="200">
        <f t="shared" si="291"/>
        <v>0</v>
      </c>
      <c r="GX82" s="201" cm="1">
        <f t="array" ref="GX82">IF(LEFT($AG82,3)="Res",IF(OR($DW82&gt;External_Threshold,$DM82&gt;0),1*Uplift*AWE*(External),0),0)</f>
        <v>0</v>
      </c>
      <c r="GY82" s="200">
        <f t="shared" si="292"/>
        <v>0</v>
      </c>
      <c r="GZ82" s="201">
        <f t="shared" si="764"/>
        <v>0</v>
      </c>
      <c r="HA82" s="203">
        <f t="shared" si="347"/>
        <v>0</v>
      </c>
      <c r="HB82" s="54"/>
      <c r="HC82" s="54"/>
      <c r="HD82" s="54"/>
      <c r="HE82" s="54"/>
      <c r="HF82" s="54"/>
      <c r="HG82" s="201">
        <f t="shared" ca="1" si="348"/>
        <v>194976.10418462008</v>
      </c>
      <c r="HH82" s="201">
        <f t="shared" ca="1" si="349"/>
        <v>0</v>
      </c>
      <c r="HI82" s="201">
        <f t="shared" ca="1" si="350"/>
        <v>0</v>
      </c>
      <c r="HJ82" s="201">
        <f t="shared" ca="1" si="351"/>
        <v>0</v>
      </c>
      <c r="HK82" s="201">
        <f t="shared" ca="1" si="352"/>
        <v>0</v>
      </c>
      <c r="HL82" s="201">
        <f t="shared" ca="1" si="353"/>
        <v>0</v>
      </c>
      <c r="HM82" s="201">
        <f t="shared" ca="1" si="354"/>
        <v>0</v>
      </c>
      <c r="HN82" s="201">
        <f t="shared" ca="1" si="355"/>
        <v>0</v>
      </c>
      <c r="HO82" s="201">
        <f t="shared" ca="1" si="356"/>
        <v>0</v>
      </c>
      <c r="HP82" s="201">
        <f t="shared" ca="1" si="357"/>
        <v>0</v>
      </c>
      <c r="HQ82" s="54"/>
    </row>
    <row r="83" spans="1:225" x14ac:dyDescent="0.3">
      <c r="A83" s="513">
        <v>65</v>
      </c>
      <c r="B83" s="514" t="s">
        <v>488</v>
      </c>
      <c r="C83" s="514" t="s">
        <v>390</v>
      </c>
      <c r="D83" s="514" t="s">
        <v>390</v>
      </c>
      <c r="E83" s="513">
        <v>1</v>
      </c>
      <c r="F83" s="515">
        <v>7.22</v>
      </c>
      <c r="G83" s="515">
        <v>6.22</v>
      </c>
      <c r="H83" s="513">
        <v>1</v>
      </c>
      <c r="I83" s="517">
        <v>1</v>
      </c>
      <c r="J83" s="518" t="s">
        <v>42</v>
      </c>
      <c r="K83" s="513">
        <f t="shared" ref="K83:K114" si="1044">IF(H83=$B$12,$P$15,IF(H83=$B$13,$Q$15,_xlfn.XLOOKUP(J83,$K$14:$Q$14,$K$15:$Q$15,$O$15)))</f>
        <v>90</v>
      </c>
      <c r="L83" s="519">
        <v>7.74</v>
      </c>
      <c r="M83" s="519">
        <v>6.6199999999999992</v>
      </c>
      <c r="N83" s="519">
        <v>6.3199999999999994</v>
      </c>
      <c r="O83" s="519">
        <v>6.02</v>
      </c>
      <c r="P83" s="519">
        <v>5.47</v>
      </c>
      <c r="Q83" s="519">
        <v>5</v>
      </c>
      <c r="R83" s="519">
        <v>4.2</v>
      </c>
      <c r="S83" s="519">
        <v>0</v>
      </c>
      <c r="T83" s="519">
        <v>0</v>
      </c>
      <c r="U83" s="519">
        <v>0</v>
      </c>
      <c r="V83" s="536"/>
      <c r="W83" s="536"/>
      <c r="X83" s="536"/>
      <c r="Y83" s="536"/>
      <c r="Z83" s="536"/>
      <c r="AA83" s="536"/>
      <c r="AB83" s="536"/>
      <c r="AC83" s="536"/>
      <c r="AD83" s="536"/>
      <c r="AE83" s="536"/>
      <c r="AF83" s="54"/>
      <c r="AG83" s="204" t="str">
        <f t="shared" si="465"/>
        <v>Res1</v>
      </c>
      <c r="AH83" s="204">
        <f t="shared" si="294"/>
        <v>4</v>
      </c>
      <c r="AI83" s="204">
        <f t="shared" ref="AI83:AI114" si="1045">IF(OR(H83=$B$12,H83=$B$13),I83,1)</f>
        <v>1</v>
      </c>
      <c r="AJ83" s="54"/>
      <c r="AK83" s="74">
        <f>IFERROR(IF(H83&gt;4,0,AI83*Inputs!$C$55),0)</f>
        <v>2.6</v>
      </c>
      <c r="AL83" s="81">
        <f>IFERROR(Inputs!$C$73,0)</f>
        <v>5</v>
      </c>
      <c r="AM83" s="211">
        <f>IFERROR(Inputs!$C$74,0)</f>
        <v>0.24299999999999999</v>
      </c>
      <c r="AN83" s="446">
        <f>IFERROR(HLOOKUP(HLOOKUP(AN$17,$V$18:$AE83,COUNTA($AK$18:$AK83),FALSE),Inputs!$B$58:$H$59,2,FALSE),0)</f>
        <v>0</v>
      </c>
      <c r="AO83" s="447">
        <f t="shared" si="295"/>
        <v>0</v>
      </c>
      <c r="AP83" s="447">
        <f t="shared" si="296"/>
        <v>0</v>
      </c>
      <c r="AQ83" s="446">
        <f>IFERROR(HLOOKUP(HLOOKUP(AQ$17,$V$18:$AE83,COUNTA($AK$18:$AK83),FALSE),Inputs!$B$58:$H$59,2,FALSE),0)</f>
        <v>0</v>
      </c>
      <c r="AR83" s="447">
        <f t="shared" ref="AR83" si="1046">2*$AK83*AQ83*$AL83/100*$AM83</f>
        <v>0</v>
      </c>
      <c r="AS83" s="447">
        <f t="shared" si="298"/>
        <v>0</v>
      </c>
      <c r="AT83" s="446">
        <f>IFERROR(HLOOKUP(HLOOKUP(AT$17,$V$18:$AE83,COUNTA($AK$18:$AK83),FALSE),Inputs!$B$58:$H$59,2,FALSE),0)</f>
        <v>0</v>
      </c>
      <c r="AU83" s="447">
        <f t="shared" ref="AU83" si="1047">2*$AK83*AT83*$AL83/100*$AM83</f>
        <v>0</v>
      </c>
      <c r="AV83" s="447">
        <f t="shared" si="300"/>
        <v>0</v>
      </c>
      <c r="AW83" s="446">
        <f>IFERROR(HLOOKUP(HLOOKUP(AW$17,$V$18:$AE83,COUNTA($AK$18:$AK83),FALSE),Inputs!$B$58:$H$59,2,FALSE),0)</f>
        <v>0</v>
      </c>
      <c r="AX83" s="447">
        <f t="shared" ref="AX83" si="1048">2*$AK83*AW83*$AL83/100*$AM83</f>
        <v>0</v>
      </c>
      <c r="AY83" s="447">
        <f t="shared" si="302"/>
        <v>0</v>
      </c>
      <c r="AZ83" s="446">
        <f>IFERROR(HLOOKUP(HLOOKUP(AZ$17,$V$18:$AE83,COUNTA($AK$18:$AK83),FALSE),Inputs!$B$58:$H$59,2,FALSE),0)</f>
        <v>0</v>
      </c>
      <c r="BA83" s="447">
        <f t="shared" ref="BA83" si="1049">2*$AK83*AZ83*$AL83/100*$AM83</f>
        <v>0</v>
      </c>
      <c r="BB83" s="447">
        <f t="shared" si="304"/>
        <v>0</v>
      </c>
      <c r="BC83" s="446">
        <f>IFERROR(HLOOKUP(HLOOKUP(BC$17,$V$18:$AE83,COUNTA($AK$18:$AK83),FALSE),Inputs!$B$58:$H$59,2,FALSE),0)</f>
        <v>0</v>
      </c>
      <c r="BD83" s="447">
        <f t="shared" ref="BD83" si="1050">2*$AK83*BC83*$AL83/100*$AM83</f>
        <v>0</v>
      </c>
      <c r="BE83" s="447">
        <f t="shared" si="306"/>
        <v>0</v>
      </c>
      <c r="BF83" s="446">
        <f>IFERROR(HLOOKUP(HLOOKUP(BF$17,$V$18:$AE83,COUNTA($AK$18:$AK83),FALSE),Inputs!$B$58:$H$59,2,FALSE),0)</f>
        <v>0</v>
      </c>
      <c r="BG83" s="447">
        <f t="shared" ref="BG83" si="1051">2*$AK83*BF83*$AL83/100*$AM83</f>
        <v>0</v>
      </c>
      <c r="BH83" s="447">
        <f t="shared" si="308"/>
        <v>0</v>
      </c>
      <c r="BI83" s="446">
        <f>IFERROR(HLOOKUP(HLOOKUP(BI$17,$V$18:$AE83,COUNTA($AK$18:$AK83),FALSE),Inputs!$B$58:$H$59,2,FALSE),0)</f>
        <v>0</v>
      </c>
      <c r="BJ83" s="447">
        <f t="shared" ref="BJ83" si="1052">2*$AK83*BI83*$AL83/100*$AM83</f>
        <v>0</v>
      </c>
      <c r="BK83" s="447">
        <f t="shared" si="310"/>
        <v>0</v>
      </c>
      <c r="BL83" s="446">
        <f>IFERROR(HLOOKUP(HLOOKUP(BL$17,$V$18:$AE83,COUNTA($AK$18:$AK83),FALSE),Inputs!$B$58:$H$59,2,FALSE),0)</f>
        <v>0</v>
      </c>
      <c r="BM83" s="447">
        <f t="shared" ref="BM83" si="1053">2*$AK83*BL83*$AL83/100*$AM83</f>
        <v>0</v>
      </c>
      <c r="BN83" s="447">
        <f t="shared" si="312"/>
        <v>0</v>
      </c>
      <c r="BO83" s="446">
        <f>IFERROR(HLOOKUP(HLOOKUP(BO$17,$V$18:$AE83,COUNTA($AK$18:$AK83),FALSE),Inputs!$B$58:$H$59,2,FALSE),0)</f>
        <v>0</v>
      </c>
      <c r="BP83" s="447">
        <f t="shared" ref="BP83" si="1054">2*$AK83*BO83*$AL83/100*$AM83</f>
        <v>0</v>
      </c>
      <c r="BQ83" s="447">
        <f t="shared" si="314"/>
        <v>0</v>
      </c>
      <c r="BR83" s="54"/>
      <c r="BS83" s="103">
        <f t="shared" ca="1" si="735"/>
        <v>40.665981186685961</v>
      </c>
      <c r="BT83" s="103">
        <f t="shared" ca="1" si="396"/>
        <v>35.446716209578909</v>
      </c>
      <c r="BU83" s="103">
        <f t="shared" si="397"/>
        <v>54.02934153400868</v>
      </c>
      <c r="BV83" s="103">
        <f t="shared" si="398"/>
        <v>0</v>
      </c>
      <c r="BW83" s="152">
        <f t="shared" ca="1" si="399"/>
        <v>130.14203893027354</v>
      </c>
      <c r="BX83" s="441"/>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188">
        <f t="shared" si="315"/>
        <v>0.52000000000000046</v>
      </c>
      <c r="DE83" s="188">
        <f t="shared" si="316"/>
        <v>-0.3</v>
      </c>
      <c r="DF83" s="188">
        <f t="shared" si="317"/>
        <v>-0.3</v>
      </c>
      <c r="DG83" s="188">
        <f t="shared" si="318"/>
        <v>-0.3</v>
      </c>
      <c r="DH83" s="188">
        <f t="shared" si="319"/>
        <v>-0.3</v>
      </c>
      <c r="DI83" s="188">
        <f t="shared" si="320"/>
        <v>-0.3</v>
      </c>
      <c r="DJ83" s="188">
        <f t="shared" si="321"/>
        <v>-0.3</v>
      </c>
      <c r="DK83" s="188">
        <f t="shared" si="322"/>
        <v>-0.3</v>
      </c>
      <c r="DL83" s="188">
        <f t="shared" si="323"/>
        <v>-0.3</v>
      </c>
      <c r="DM83" s="188">
        <f t="shared" si="324"/>
        <v>-0.3</v>
      </c>
      <c r="DN83" s="189">
        <f t="shared" si="325"/>
        <v>1.5200000000000005</v>
      </c>
      <c r="DO83" s="189">
        <f t="shared" si="326"/>
        <v>0.39999999999999947</v>
      </c>
      <c r="DP83" s="189">
        <f t="shared" si="327"/>
        <v>9.9999999999999645E-2</v>
      </c>
      <c r="DQ83" s="189">
        <f t="shared" si="328"/>
        <v>0</v>
      </c>
      <c r="DR83" s="189">
        <f t="shared" si="329"/>
        <v>0</v>
      </c>
      <c r="DS83" s="189">
        <f t="shared" si="330"/>
        <v>0</v>
      </c>
      <c r="DT83" s="189">
        <f t="shared" si="331"/>
        <v>0</v>
      </c>
      <c r="DU83" s="189">
        <f t="shared" si="332"/>
        <v>0</v>
      </c>
      <c r="DV83" s="189">
        <f t="shared" si="333"/>
        <v>0</v>
      </c>
      <c r="DW83" s="189">
        <f t="shared" si="334"/>
        <v>0</v>
      </c>
      <c r="DX83" s="54"/>
      <c r="DY83" s="54"/>
      <c r="DZ83" s="199">
        <f t="shared" ref="DZ83:DZ114" ca="1" si="1055">$AI83*Uplift*VLOOKUP(MIN(_xlfn.NUMBERVALUE(MROUND($DD83,SIGN($DD83)*0.05)),MAX(INDEX(INDIRECT($AG83&amp;LEFT(DZ$17)),,1))),INDIRECT($AG83&amp;LEFT(DZ$17)),$AH83,FALSE)*IF(LEFT($AG83,3)="Com",$K83,IF(OR($H83=$B$12,$H83=$B$13),1-Downscale,1))</f>
        <v>40870.332850940664</v>
      </c>
      <c r="EA83" s="200">
        <f t="shared" si="335"/>
        <v>1</v>
      </c>
      <c r="EB83" s="201">
        <f t="shared" ref="EB83:EB114" ca="1" si="1056">$AI83*Uplift*VLOOKUP(MIN(_xlfn.NUMBERVALUE(MROUND($DD83,SIGN($DD83)*0.05)),MAX(INDEX(INDIRECT($AG83&amp;LEFT(EB$17)),,1))),INDIRECT($AG83&amp;LEFT(EB$17)),$AH83,FALSE)</f>
        <v>35624.840411637095</v>
      </c>
      <c r="EC83" s="200">
        <f t="shared" si="336"/>
        <v>1</v>
      </c>
      <c r="ED83" s="201" cm="1">
        <f t="array" ref="ED83">IF(LEFT($AG83,3)="Res",IF(OR($DN83&gt;External_Threshold,$DD83&gt;0),1*Uplift*AWE*(External),0),0)</f>
        <v>15481.186685962373</v>
      </c>
      <c r="EE83" s="200">
        <f t="shared" si="337"/>
        <v>1</v>
      </c>
      <c r="EF83" s="201">
        <f t="shared" ref="EF83:EF114" si="1057">$AI83*Uplift*($AO83*Injury+$AP83*Fatality)*EA83</f>
        <v>0</v>
      </c>
      <c r="EG83" s="203">
        <f t="shared" si="338"/>
        <v>0</v>
      </c>
      <c r="EH83" s="199">
        <f t="shared" ref="EH83:EH114" ca="1" si="1058">$AI83*Uplift*VLOOKUP(MIN(_xlfn.NUMBERVALUE(MROUND($DE83,SIGN($DE83)*0.05)),MAX(INDEX(INDIRECT($AG83&amp;LEFT(EH$17)),,1))),INDIRECT($AG83&amp;LEFT(EH$17)),$AH83,FALSE)*IF(LEFT($AG83,3)="Com",$K83,IF(OR($H83=$B$12,$H83=$B$13),1-Downscale,1))</f>
        <v>0</v>
      </c>
      <c r="EI83" s="200">
        <f t="shared" ref="EI83:EI137" si="1059">IF($F83&lt;0,,IF($M83&gt;$F83,1,))</f>
        <v>0</v>
      </c>
      <c r="EJ83" s="201">
        <f t="shared" ref="EJ83:EJ114" ca="1" si="1060">$AI83*Uplift*VLOOKUP(MIN(_xlfn.NUMBERVALUE(MROUND($DE83,SIGN($DE83)*0.05)),MAX(INDEX(INDIRECT($AG83&amp;LEFT(EJ$17)),,1))),INDIRECT($AG83&amp;LEFT(EJ$17)),$AH83,FALSE)</f>
        <v>0</v>
      </c>
      <c r="EK83" s="200">
        <f t="shared" ref="EK83:EK137" si="1061">IF($F83&lt;0,,IF($M83&gt;$F83,1,))</f>
        <v>0</v>
      </c>
      <c r="EL83" s="201" cm="1">
        <f t="array" ref="EL83">IF(LEFT($AG83,3)="Res",IF(OR($DO83&gt;External_Threshold,$DE83&gt;0),1*Uplift*AWE*(External),0),0)</f>
        <v>15481.186685962373</v>
      </c>
      <c r="EM83" s="200">
        <f t="shared" ref="EM83:EM137" si="1062">IF($G83&lt;0,,IF($M83&gt;$G83,1,))</f>
        <v>1</v>
      </c>
      <c r="EN83" s="201">
        <f t="shared" ref="EN83:EN114" si="1063">$AI83*Uplift*($AR83*Injury+$AS83*Fatality)*EI83</f>
        <v>0</v>
      </c>
      <c r="EO83" s="203">
        <f t="shared" si="339"/>
        <v>0</v>
      </c>
      <c r="EP83" s="199">
        <f t="shared" ref="EP83:EP114" ca="1" si="1064">$AI83*Uplift*VLOOKUP(MIN(_xlfn.NUMBERVALUE(MROUND($DF83,SIGN($DF83)*0.05)),MAX(INDEX(INDIRECT($AG83&amp;LEFT(EP$17)),,1))),INDIRECT($AG83&amp;LEFT(EP$17)),$AH83,FALSE)*IF(LEFT($AG83,3)="Com",$K83,IF(OR($H83=$B$12,$H83=$B$13),1-Downscale,1))</f>
        <v>0</v>
      </c>
      <c r="EQ83" s="200">
        <f t="shared" ref="EQ83:EQ137" si="1065">IF($F83&lt;0,,IF($N83&gt;$F83,1,))</f>
        <v>0</v>
      </c>
      <c r="ER83" s="201">
        <f t="shared" ref="ER83:ER114" ca="1" si="1066">$AI83*Uplift*VLOOKUP(MIN(_xlfn.NUMBERVALUE(MROUND($DF83,SIGN($DF83)*0.05)),MAX(INDEX(INDIRECT($AG83&amp;LEFT(ER$17)),,1))),INDIRECT($AG83&amp;LEFT(ER$17)),$AH83,FALSE)</f>
        <v>0</v>
      </c>
      <c r="ES83" s="200">
        <f t="shared" ref="ES83:ES137" si="1067">IF($F83&lt;0,,IF($N83&gt;$F83,1,))</f>
        <v>0</v>
      </c>
      <c r="ET83" s="201" cm="1">
        <f t="array" ref="ET83">IF(LEFT($AG83,3)="Res",IF(OR($DP83&gt;External_Threshold,$DF83&gt;0),1*Uplift*AWE*(External),0),0)</f>
        <v>0</v>
      </c>
      <c r="EU83" s="200">
        <f t="shared" ref="EU83:EU137" si="1068">IF($G83&lt;0,,IF($N83&gt;$G83,1,))</f>
        <v>1</v>
      </c>
      <c r="EV83" s="201">
        <f t="shared" ref="EV83:EV114" si="1069">$AI83*Uplift*($AU83*Injury+$AV83*Fatality)*EQ83</f>
        <v>0</v>
      </c>
      <c r="EW83" s="203">
        <f t="shared" si="340"/>
        <v>0</v>
      </c>
      <c r="EX83" s="199">
        <f t="shared" ref="EX83:EX114" ca="1" si="1070">$AI83*Uplift*VLOOKUP(MIN(_xlfn.NUMBERVALUE(MROUND($DG83,SIGN($DG83)*0.05)),MAX(INDEX(INDIRECT($AG83&amp;LEFT(EX$17)),,1))),INDIRECT($AG83&amp;LEFT(EX$17)),$AH83,FALSE)*IF(LEFT($AG83,3)="Com",$K83,IF(OR($H83=$B$12,$H83=$B$13),1-Downscale,1))</f>
        <v>0</v>
      </c>
      <c r="EY83" s="200">
        <f t="shared" ref="EY83:EY137" si="1071">IF($F83&lt;0,,IF($O83&gt;$F83,1,))</f>
        <v>0</v>
      </c>
      <c r="EZ83" s="201">
        <f t="shared" ref="EZ83:EZ114" ca="1" si="1072">$AI83*Uplift*VLOOKUP(MIN(_xlfn.NUMBERVALUE(MROUND($DG83,SIGN($DG83)*0.05)),MAX(INDEX(INDIRECT($AG83&amp;LEFT(EZ$17)),,1))),INDIRECT($AG83&amp;LEFT(EZ$17)),$AH83,FALSE)</f>
        <v>0</v>
      </c>
      <c r="FA83" s="200">
        <f t="shared" ref="FA83:FA137" si="1073">IF($F83&lt;0,,IF($O83&gt;$F83,1,))</f>
        <v>0</v>
      </c>
      <c r="FB83" s="201" cm="1">
        <f t="array" ref="FB83">IF(LEFT($AG83,3)="Res",IF(OR($DQ83&gt;External_Threshold,$DG83&gt;0),1*Uplift*AWE*(External),0),0)</f>
        <v>0</v>
      </c>
      <c r="FC83" s="200">
        <f t="shared" ref="FC83:FC137" si="1074">IF($G83&lt;0,,IF($O83&gt;$G83,1,))</f>
        <v>0</v>
      </c>
      <c r="FD83" s="201">
        <f t="shared" ref="FD83:FD137" si="1075">$AI83*Uplift*($AX83*Injury+$AY83*Fatality)*EY83</f>
        <v>0</v>
      </c>
      <c r="FE83" s="203">
        <f t="shared" si="341"/>
        <v>0</v>
      </c>
      <c r="FF83" s="199">
        <f t="shared" ref="FF83:FF114" ca="1" si="1076">$AI83*Uplift*VLOOKUP(MIN(_xlfn.NUMBERVALUE(MROUND($DH83,SIGN($DH83)*0.05)),MAX(INDEX(INDIRECT($AG83&amp;LEFT(FF$17)),,1))),INDIRECT($AG83&amp;LEFT(FF$17)),$AH83,FALSE)*IF(LEFT($AG83,3)="Com",$K83,IF(OR($H83=$B$12,$H83=$B$13),1-Downscale,1))</f>
        <v>0</v>
      </c>
      <c r="FG83" s="200">
        <f t="shared" ref="FG83:FG137" si="1077">IF($F83&lt;0,,IF($P83&gt;$F83,1,))</f>
        <v>0</v>
      </c>
      <c r="FH83" s="201">
        <f t="shared" ref="FH83:FH114" ca="1" si="1078">$AI83*Uplift*VLOOKUP(MIN(_xlfn.NUMBERVALUE(MROUND($DH83,SIGN($DH83)*0.05)),MAX(INDEX(INDIRECT($AG83&amp;LEFT(FH$17)),,1))),INDIRECT($AG83&amp;LEFT(FH$17)),$AH83,FALSE)</f>
        <v>0</v>
      </c>
      <c r="FI83" s="200">
        <f t="shared" ref="FI83:FI137" si="1079">IF($F83&lt;0,,IF($P83&gt;$F83,1,))</f>
        <v>0</v>
      </c>
      <c r="FJ83" s="201" cm="1">
        <f t="array" ref="FJ83">IF(LEFT($AG83,3)="Res",IF(OR($DR83&gt;External_Threshold,$DH83&gt;0),1*Uplift*AWE*(External),0),0)</f>
        <v>0</v>
      </c>
      <c r="FK83" s="200">
        <f t="shared" ref="FK83:FK137" si="1080">IF($G83&lt;0,,IF($P83&gt;$G83,1,))</f>
        <v>0</v>
      </c>
      <c r="FL83" s="201">
        <f t="shared" ref="FL83:FL114" si="1081">$AI83*Uplift*($BA83*Injury+$BB83*Fatality)*FG83</f>
        <v>0</v>
      </c>
      <c r="FM83" s="203">
        <f t="shared" si="342"/>
        <v>0</v>
      </c>
      <c r="FN83" s="199">
        <f t="shared" ref="FN83:FN114" ca="1" si="1082">$AI83*Uplift*VLOOKUP(MIN(_xlfn.NUMBERVALUE(MROUND($DI83,SIGN($DI83)*0.05)),MAX(INDEX(INDIRECT($AG83&amp;LEFT(FN$17)),,1))),INDIRECT($AG83&amp;LEFT(FN$17)),$AH83,FALSE)*IF(LEFT($AG83,3)="Com",$K83,IF(OR($H83=$B$12,$H83=$B$13),1-Downscale,1))</f>
        <v>0</v>
      </c>
      <c r="FO83" s="200">
        <f t="shared" ref="FO83:FO137" si="1083">IF($F83&lt;0,,IF($Q83&gt;$F83,1,))</f>
        <v>0</v>
      </c>
      <c r="FP83" s="201">
        <f t="shared" ref="FP83:FP114" ca="1" si="1084">$AI83*Uplift*VLOOKUP(MIN(_xlfn.NUMBERVALUE(MROUND($DI83,SIGN($DI83)*0.05)),MAX(INDEX(INDIRECT($AG83&amp;LEFT(FP$17)),,1))),INDIRECT($AG83&amp;LEFT(FP$17)),$AH83,FALSE)</f>
        <v>0</v>
      </c>
      <c r="FQ83" s="200">
        <f t="shared" ref="FQ83:FQ137" si="1085">IF($F83&lt;0,,IF($Q83&gt;$F83,1,))</f>
        <v>0</v>
      </c>
      <c r="FR83" s="201" cm="1">
        <f t="array" ref="FR83">IF(LEFT($AG83,3)="Res",IF(OR($DS83&gt;External_Threshold,$DI83&gt;0),1*Uplift*AWE*(External),0),0)</f>
        <v>0</v>
      </c>
      <c r="FS83" s="200">
        <f t="shared" ref="FS83:FS137" si="1086">IF($G83&lt;0,,IF($Q83&gt;$G83,1,))</f>
        <v>0</v>
      </c>
      <c r="FT83" s="201">
        <f t="shared" ref="FT83:FT114" si="1087">$AI83*Uplift*($BD83*Injury+$BE83*Fatality)*FO83</f>
        <v>0</v>
      </c>
      <c r="FU83" s="203">
        <f t="shared" si="343"/>
        <v>0</v>
      </c>
      <c r="FV83" s="199">
        <f t="shared" ref="FV83:FV114" ca="1" si="1088">$AI83*Uplift*VLOOKUP(MIN(_xlfn.NUMBERVALUE(MROUND($DJ83,SIGN($DJ83)*0.05)),MAX(INDEX(INDIRECT($AG83&amp;LEFT(FV$17)),,1))),INDIRECT($AG83&amp;LEFT(FV$17)),$AH83,FALSE)*IF(LEFT($AG83,3)="Com",$K83,IF(OR($H83=$B$12,$H83=$B$13),1-Downscale,1))</f>
        <v>0</v>
      </c>
      <c r="FW83" s="200">
        <f t="shared" ref="FW83:FW137" si="1089">IF($F83&lt;0,,IF($R83&gt;$F83,1,))</f>
        <v>0</v>
      </c>
      <c r="FX83" s="201">
        <f t="shared" ref="FX83:FX114" ca="1" si="1090">$AI83*Uplift*VLOOKUP(MIN(_xlfn.NUMBERVALUE(MROUND($DJ83,SIGN($DJ83)*0.05)),MAX(INDEX(INDIRECT($AG83&amp;LEFT(FX$17)),,1))),INDIRECT($AG83&amp;LEFT(FX$17)),$AH83,FALSE)</f>
        <v>0</v>
      </c>
      <c r="FY83" s="200">
        <f t="shared" ref="FY83:FY137" si="1091">IF($F83&lt;0,,IF($R83&gt;$F83,1,))</f>
        <v>0</v>
      </c>
      <c r="FZ83" s="201" cm="1">
        <f t="array" ref="FZ83">IF(LEFT($AG83,3)="Res",IF(OR($DT83&gt;External_Threshold,$DJ83&gt;0),1*Uplift*AWE*(External),0),0)</f>
        <v>0</v>
      </c>
      <c r="GA83" s="200">
        <f t="shared" ref="GA83:GA137" si="1092">IF($G83&lt;0,,IF($R83&gt;$G83,1,))</f>
        <v>0</v>
      </c>
      <c r="GB83" s="201">
        <f t="shared" ref="GB83:GB114" si="1093">$AI83*Uplift*($BG83*Injury+$BH83*Fatality)*FW83</f>
        <v>0</v>
      </c>
      <c r="GC83" s="203">
        <f t="shared" si="344"/>
        <v>0</v>
      </c>
      <c r="GD83" s="199">
        <f t="shared" ref="GD83:GD114" ca="1" si="1094">$AI83*Uplift*VLOOKUP(MIN(_xlfn.NUMBERVALUE(MROUND($DK83,SIGN($DK83)*0.05)),MAX(INDEX(INDIRECT($AG83&amp;LEFT(GD$17)),,1))),INDIRECT($AG83&amp;LEFT(GD$17)),$AH83,FALSE)*IF(LEFT($AG83,3)="Com",$K83,IF(OR($H83=$B$12,$H83=$B$13),1-Downscale,1))</f>
        <v>0</v>
      </c>
      <c r="GE83" s="200">
        <f t="shared" ref="GE83:GE137" si="1095">IF($F83&lt;0,,IF($S83&gt;$F83,1,))</f>
        <v>0</v>
      </c>
      <c r="GF83" s="201">
        <f t="shared" ref="GF83:GF114" ca="1" si="1096">$AI83*Uplift*VLOOKUP(MIN(_xlfn.NUMBERVALUE(MROUND($DK83,SIGN($DK83)*0.05)),MAX(INDEX(INDIRECT($AG83&amp;LEFT(GF$17)),,1))),INDIRECT($AG83&amp;LEFT(GF$17)),$AH83,FALSE)</f>
        <v>0</v>
      </c>
      <c r="GG83" s="200">
        <f t="shared" ref="GG83:GG137" si="1097">IF($F83&lt;0,,IF($S83&gt;$F83,1,))</f>
        <v>0</v>
      </c>
      <c r="GH83" s="201" cm="1">
        <f t="array" ref="GH83">IF(LEFT($AG83,3)="Res",IF(OR($DU83&gt;External_Threshold,$DK83&gt;0),1*Uplift*AWE*(External),0),0)</f>
        <v>0</v>
      </c>
      <c r="GI83" s="200">
        <f t="shared" ref="GI83:GI137" si="1098">IF($G83&lt;0,,IF($S83&gt;$G83,1,))</f>
        <v>0</v>
      </c>
      <c r="GJ83" s="201">
        <f t="shared" ref="GJ83:GJ114" si="1099">$AI83*Uplift*($BJ83*Injury+$BK83*Fatality)*GE83</f>
        <v>0</v>
      </c>
      <c r="GK83" s="203">
        <f t="shared" si="345"/>
        <v>0</v>
      </c>
      <c r="GL83" s="199">
        <f t="shared" ref="GL83:GL114" ca="1" si="1100">$AI83*Uplift*VLOOKUP(MIN(_xlfn.NUMBERVALUE(MROUND($DL83,SIGN($DL83)*0.05)),MAX(INDEX(INDIRECT($AG83&amp;LEFT(GL$17)),,1))),INDIRECT($AG83&amp;LEFT(GL$17)),$AH83,FALSE)*IF(LEFT($AG83,3)="Com",$K83,IF(OR($H83=$B$12,$H83=$B$13),1-Downscale,1))</f>
        <v>0</v>
      </c>
      <c r="GM83" s="200">
        <f t="shared" ref="GM83:GM137" si="1101">IF($F83&lt;0,,IF($T83&gt;$F83,1,))</f>
        <v>0</v>
      </c>
      <c r="GN83" s="201">
        <f t="shared" ref="GN83:GN114" ca="1" si="1102">$AI83*Uplift*VLOOKUP(MIN(_xlfn.NUMBERVALUE(MROUND($DL83,SIGN($DL83)*0.05)),MAX(INDEX(INDIRECT($AG83&amp;LEFT(GN$17)),,1))),INDIRECT($AG83&amp;LEFT(GN$17)),$AH83,FALSE)</f>
        <v>0</v>
      </c>
      <c r="GO83" s="200">
        <f t="shared" ref="GO83:GO137" si="1103">IF($F83&lt;0,,IF($T83&gt;$F83,1,))</f>
        <v>0</v>
      </c>
      <c r="GP83" s="201" cm="1">
        <f t="array" ref="GP83">IF(LEFT($AG83,3)="Res",IF(OR($DV83&gt;External_Threshold,$DL83&gt;0),1*Uplift*AWE*(External),0),0)</f>
        <v>0</v>
      </c>
      <c r="GQ83" s="200">
        <f t="shared" ref="GQ83:GQ137" si="1104">IF($G83&lt;0,,IF($T83&gt;$G83,1,))</f>
        <v>0</v>
      </c>
      <c r="GR83" s="201">
        <f t="shared" ref="GR83:GR114" si="1105">$AI83*Uplift*($BM83*Injury+$BN83*Fatality)*GM83</f>
        <v>0</v>
      </c>
      <c r="GS83" s="203">
        <f t="shared" si="346"/>
        <v>0</v>
      </c>
      <c r="GT83" s="199">
        <f t="shared" ref="GT83:GT114" ca="1" si="1106">$AI83*Uplift*VLOOKUP(MIN(_xlfn.NUMBERVALUE(MROUND($DM83,SIGN($DM83)*0.05)),MAX(INDEX(INDIRECT($AG83&amp;LEFT(GT$17)),,1))),INDIRECT($AG83&amp;LEFT(GT$17)),$AH83,FALSE)*IF(LEFT($AG83,3)="Com",$K83,IF(OR($H83=$B$12,$H83=$B$13),1-Downscale,1))</f>
        <v>0</v>
      </c>
      <c r="GU83" s="200">
        <f t="shared" ref="GU83:GU137" si="1107">IF($F83&lt;0,,IF($U83&gt;$F83,1,))</f>
        <v>0</v>
      </c>
      <c r="GV83" s="201">
        <f t="shared" ref="GV83:GV114" ca="1" si="1108">$AI83*Uplift*VLOOKUP(MIN(_xlfn.NUMBERVALUE(MROUND($DM83,SIGN($DM83)*0.05)),MAX(INDEX(INDIRECT($AG83&amp;LEFT(GV$17)),,1))),INDIRECT($AG83&amp;LEFT(GV$17)),$AH83,FALSE)</f>
        <v>0</v>
      </c>
      <c r="GW83" s="200">
        <f t="shared" ref="GW83:GW137" si="1109">IF($F83&lt;0,,IF($U83&gt;$F83,1,))</f>
        <v>0</v>
      </c>
      <c r="GX83" s="201" cm="1">
        <f t="array" ref="GX83">IF(LEFT($AG83,3)="Res",IF(OR($DW83&gt;External_Threshold,$DM83&gt;0),1*Uplift*AWE*(External),0),0)</f>
        <v>0</v>
      </c>
      <c r="GY83" s="200">
        <f t="shared" ref="GY83:GY137" si="1110">IF($G83&lt;0,,IF($U83&gt;$G83,1,))</f>
        <v>0</v>
      </c>
      <c r="GZ83" s="201">
        <f t="shared" ref="GZ83:GZ114" si="1111">$AI83*Uplift*($BP83*Injury+$BQ83*Fatality)*GM83</f>
        <v>0</v>
      </c>
      <c r="HA83" s="203">
        <f t="shared" si="347"/>
        <v>0</v>
      </c>
      <c r="HB83" s="54"/>
      <c r="HC83" s="54"/>
      <c r="HD83" s="54"/>
      <c r="HE83" s="54"/>
      <c r="HF83" s="54"/>
      <c r="HG83" s="201">
        <f t="shared" ca="1" si="348"/>
        <v>91976.359948540136</v>
      </c>
      <c r="HH83" s="201">
        <f t="shared" ca="1" si="349"/>
        <v>15481.186685962373</v>
      </c>
      <c r="HI83" s="201">
        <f t="shared" ca="1" si="350"/>
        <v>0</v>
      </c>
      <c r="HJ83" s="201">
        <f t="shared" ca="1" si="351"/>
        <v>0</v>
      </c>
      <c r="HK83" s="201">
        <f t="shared" ca="1" si="352"/>
        <v>0</v>
      </c>
      <c r="HL83" s="201">
        <f t="shared" ca="1" si="353"/>
        <v>0</v>
      </c>
      <c r="HM83" s="201">
        <f t="shared" ca="1" si="354"/>
        <v>0</v>
      </c>
      <c r="HN83" s="201">
        <f t="shared" ca="1" si="355"/>
        <v>0</v>
      </c>
      <c r="HO83" s="201">
        <f t="shared" ca="1" si="356"/>
        <v>0</v>
      </c>
      <c r="HP83" s="201">
        <f t="shared" ca="1" si="357"/>
        <v>0</v>
      </c>
      <c r="HQ83" s="54"/>
    </row>
    <row r="84" spans="1:225" x14ac:dyDescent="0.3">
      <c r="A84" s="513">
        <v>66</v>
      </c>
      <c r="B84" s="514" t="s">
        <v>489</v>
      </c>
      <c r="C84" s="514" t="s">
        <v>390</v>
      </c>
      <c r="D84" s="514" t="s">
        <v>390</v>
      </c>
      <c r="E84" s="513">
        <v>1</v>
      </c>
      <c r="F84" s="515">
        <v>6.05</v>
      </c>
      <c r="G84" s="515">
        <v>5.85</v>
      </c>
      <c r="H84" s="513">
        <v>2</v>
      </c>
      <c r="I84" s="517">
        <v>1</v>
      </c>
      <c r="J84" s="518" t="s">
        <v>43</v>
      </c>
      <c r="K84" s="513">
        <f t="shared" si="1044"/>
        <v>180</v>
      </c>
      <c r="L84" s="519">
        <v>7.74</v>
      </c>
      <c r="M84" s="519">
        <v>6.6199999999999992</v>
      </c>
      <c r="N84" s="519">
        <v>6.3199999999999994</v>
      </c>
      <c r="O84" s="519">
        <v>6.02</v>
      </c>
      <c r="P84" s="519">
        <v>5.47</v>
      </c>
      <c r="Q84" s="519">
        <v>5</v>
      </c>
      <c r="R84" s="519">
        <v>4.2</v>
      </c>
      <c r="S84" s="519">
        <v>0</v>
      </c>
      <c r="T84" s="519">
        <v>0</v>
      </c>
      <c r="U84" s="519">
        <v>0</v>
      </c>
      <c r="V84" s="536"/>
      <c r="W84" s="536"/>
      <c r="X84" s="536"/>
      <c r="Y84" s="536"/>
      <c r="Z84" s="536"/>
      <c r="AA84" s="536"/>
      <c r="AB84" s="536"/>
      <c r="AC84" s="536"/>
      <c r="AD84" s="536"/>
      <c r="AE84" s="536"/>
      <c r="AF84" s="54"/>
      <c r="AG84" s="204" t="str">
        <f t="shared" si="465"/>
        <v>Res1</v>
      </c>
      <c r="AH84" s="204">
        <f t="shared" ref="AH84:AH137" si="1112">IF(LEFT($AG84,3)="Res",_xlfn.XLOOKUP($J84,$L$14:$N$14,$L$13:$N$13,$O$13,1,-1),$H84-3)</f>
        <v>5</v>
      </c>
      <c r="AI84" s="204">
        <f t="shared" si="1045"/>
        <v>1</v>
      </c>
      <c r="AJ84" s="54"/>
      <c r="AK84" s="74">
        <f>IFERROR(IF(H84&gt;4,0,AI84*Inputs!$C$55),0)</f>
        <v>2.6</v>
      </c>
      <c r="AL84" s="81">
        <f>IFERROR(Inputs!$C$73,0)</f>
        <v>5</v>
      </c>
      <c r="AM84" s="211">
        <f>IFERROR(Inputs!$C$74,0)</f>
        <v>0.24299999999999999</v>
      </c>
      <c r="AN84" s="446">
        <f>IFERROR(HLOOKUP(HLOOKUP(AN$17,$V$18:$AE84,COUNTA($AK$18:$AK84),FALSE),Inputs!$B$58:$H$59,2,FALSE),0)</f>
        <v>0</v>
      </c>
      <c r="AO84" s="447">
        <f t="shared" ref="AO84:AO137" si="1113">2*$AK84*AN84*$AL84/100*$AM84</f>
        <v>0</v>
      </c>
      <c r="AP84" s="447">
        <f t="shared" ref="AP84:AP137" si="1114">2*AO84*AN84/100</f>
        <v>0</v>
      </c>
      <c r="AQ84" s="446">
        <f>IFERROR(HLOOKUP(HLOOKUP(AQ$17,$V$18:$AE84,COUNTA($AK$18:$AK84),FALSE),Inputs!$B$58:$H$59,2,FALSE),0)</f>
        <v>0</v>
      </c>
      <c r="AR84" s="447">
        <f t="shared" ref="AR84" si="1115">2*$AK84*AQ84*$AL84/100*$AM84</f>
        <v>0</v>
      </c>
      <c r="AS84" s="447">
        <f t="shared" ref="AS84:AS137" si="1116">2*AR84*AQ84/100</f>
        <v>0</v>
      </c>
      <c r="AT84" s="446">
        <f>IFERROR(HLOOKUP(HLOOKUP(AT$17,$V$18:$AE84,COUNTA($AK$18:$AK84),FALSE),Inputs!$B$58:$H$59,2,FALSE),0)</f>
        <v>0</v>
      </c>
      <c r="AU84" s="447">
        <f t="shared" ref="AU84" si="1117">2*$AK84*AT84*$AL84/100*$AM84</f>
        <v>0</v>
      </c>
      <c r="AV84" s="447">
        <f t="shared" ref="AV84:AV137" si="1118">2*AU84*AT84/100</f>
        <v>0</v>
      </c>
      <c r="AW84" s="446">
        <f>IFERROR(HLOOKUP(HLOOKUP(AW$17,$V$18:$AE84,COUNTA($AK$18:$AK84),FALSE),Inputs!$B$58:$H$59,2,FALSE),0)</f>
        <v>0</v>
      </c>
      <c r="AX84" s="447">
        <f t="shared" ref="AX84" si="1119">2*$AK84*AW84*$AL84/100*$AM84</f>
        <v>0</v>
      </c>
      <c r="AY84" s="447">
        <f t="shared" ref="AY84:AY137" si="1120">2*AX84*AW84/100</f>
        <v>0</v>
      </c>
      <c r="AZ84" s="446">
        <f>IFERROR(HLOOKUP(HLOOKUP(AZ$17,$V$18:$AE84,COUNTA($AK$18:$AK84),FALSE),Inputs!$B$58:$H$59,2,FALSE),0)</f>
        <v>0</v>
      </c>
      <c r="BA84" s="447">
        <f t="shared" ref="BA84" si="1121">2*$AK84*AZ84*$AL84/100*$AM84</f>
        <v>0</v>
      </c>
      <c r="BB84" s="447">
        <f t="shared" ref="BB84:BB137" si="1122">2*BA84*AZ84/100</f>
        <v>0</v>
      </c>
      <c r="BC84" s="446">
        <f>IFERROR(HLOOKUP(HLOOKUP(BC$17,$V$18:$AE84,COUNTA($AK$18:$AK84),FALSE),Inputs!$B$58:$H$59,2,FALSE),0)</f>
        <v>0</v>
      </c>
      <c r="BD84" s="447">
        <f t="shared" ref="BD84" si="1123">2*$AK84*BC84*$AL84/100*$AM84</f>
        <v>0</v>
      </c>
      <c r="BE84" s="447">
        <f t="shared" ref="BE84:BE137" si="1124">2*BD84*BC84/100</f>
        <v>0</v>
      </c>
      <c r="BF84" s="446">
        <f>IFERROR(HLOOKUP(HLOOKUP(BF$17,$V$18:$AE84,COUNTA($AK$18:$AK84),FALSE),Inputs!$B$58:$H$59,2,FALSE),0)</f>
        <v>0</v>
      </c>
      <c r="BG84" s="447">
        <f t="shared" ref="BG84" si="1125">2*$AK84*BF84*$AL84/100*$AM84</f>
        <v>0</v>
      </c>
      <c r="BH84" s="447">
        <f t="shared" ref="BH84:BH137" si="1126">2*BG84*BF84/100</f>
        <v>0</v>
      </c>
      <c r="BI84" s="446">
        <f>IFERROR(HLOOKUP(HLOOKUP(BI$17,$V$18:$AE84,COUNTA($AK$18:$AK84),FALSE),Inputs!$B$58:$H$59,2,FALSE),0)</f>
        <v>0</v>
      </c>
      <c r="BJ84" s="447">
        <f t="shared" ref="BJ84" si="1127">2*$AK84*BI84*$AL84/100*$AM84</f>
        <v>0</v>
      </c>
      <c r="BK84" s="447">
        <f t="shared" ref="BK84:BK137" si="1128">2*BJ84*BI84/100</f>
        <v>0</v>
      </c>
      <c r="BL84" s="446">
        <f>IFERROR(HLOOKUP(HLOOKUP(BL$17,$V$18:$AE84,COUNTA($AK$18:$AK84),FALSE),Inputs!$B$58:$H$59,2,FALSE),0)</f>
        <v>0</v>
      </c>
      <c r="BM84" s="447">
        <f t="shared" ref="BM84" si="1129">2*$AK84*BL84*$AL84/100*$AM84</f>
        <v>0</v>
      </c>
      <c r="BN84" s="447">
        <f t="shared" ref="BN84:BN137" si="1130">2*BM84*BL84/100</f>
        <v>0</v>
      </c>
      <c r="BO84" s="446">
        <f>IFERROR(HLOOKUP(HLOOKUP(BO$17,$V$18:$AE84,COUNTA($AK$18:$AK84),FALSE),Inputs!$B$58:$H$59,2,FALSE),0)</f>
        <v>0</v>
      </c>
      <c r="BP84" s="447">
        <f t="shared" ref="BP84" si="1131">2*$AK84*BO84*$AL84/100*$AM84</f>
        <v>0</v>
      </c>
      <c r="BQ84" s="447">
        <f t="shared" ref="BQ84:BQ137" si="1132">2*BP84*BO84/100</f>
        <v>0</v>
      </c>
      <c r="BR84" s="54"/>
      <c r="BS84" s="103">
        <f t="shared" ca="1" si="735"/>
        <v>672.82214974131693</v>
      </c>
      <c r="BT84" s="103">
        <f t="shared" ca="1" si="396"/>
        <v>439.93642266599682</v>
      </c>
      <c r="BU84" s="103">
        <f t="shared" si="397"/>
        <v>115.95408827785818</v>
      </c>
      <c r="BV84" s="103">
        <f t="shared" si="398"/>
        <v>0</v>
      </c>
      <c r="BW84" s="152">
        <f t="shared" ca="1" si="399"/>
        <v>1228.7126606851718</v>
      </c>
      <c r="BX84" s="441"/>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188">
        <f t="shared" ref="DD84:DD137" si="1133">IF(L84-$F84&lt;-0.3,-0.3,L84-$F84)</f>
        <v>1.6900000000000004</v>
      </c>
      <c r="DE84" s="188">
        <f t="shared" ref="DE84:DE137" si="1134">IF(M84-$F84&lt;-0.3,-0.3,M84-$F84)</f>
        <v>0.5699999999999994</v>
      </c>
      <c r="DF84" s="188">
        <f t="shared" ref="DF84:DF137" si="1135">IF(N84-$F84&lt;-0.3,-0.3,N84-$F84)</f>
        <v>0.26999999999999957</v>
      </c>
      <c r="DG84" s="188">
        <f t="shared" ref="DG84:DG137" si="1136">IF(O84-$F84&lt;-0.3,-0.3,O84-$F84)</f>
        <v>-3.0000000000000249E-2</v>
      </c>
      <c r="DH84" s="188">
        <f t="shared" ref="DH84:DH137" si="1137">IF(P84-$F84&lt;-0.3,-0.3,P84-$F84)</f>
        <v>-0.3</v>
      </c>
      <c r="DI84" s="188">
        <f t="shared" ref="DI84:DI137" si="1138">IF(Q84-$F84&lt;-0.3,-0.3,Q84-$F84)</f>
        <v>-0.3</v>
      </c>
      <c r="DJ84" s="188">
        <f t="shared" ref="DJ84:DJ137" si="1139">IF(R84-$F84&lt;-0.3,-0.3,R84-$F84)</f>
        <v>-0.3</v>
      </c>
      <c r="DK84" s="188">
        <f t="shared" ref="DK84:DK137" si="1140">IF(S84-$F84&lt;-0.3,-0.3,S84-$F84)</f>
        <v>-0.3</v>
      </c>
      <c r="DL84" s="188">
        <f t="shared" ref="DL84:DL137" si="1141">IF(T84-$F84&lt;-0.3,-0.3,T84-$F84)</f>
        <v>-0.3</v>
      </c>
      <c r="DM84" s="188">
        <f t="shared" ref="DM84:DM137" si="1142">IF(U84-$F84&lt;-0.3,-0.3,U84-$F84)</f>
        <v>-0.3</v>
      </c>
      <c r="DN84" s="189">
        <f t="shared" ref="DN84:DN137" si="1143">IF(L84-$G84&lt;0,0,L84-$G84)</f>
        <v>1.8900000000000006</v>
      </c>
      <c r="DO84" s="189">
        <f t="shared" ref="DO84:DO137" si="1144">IF(M84-$G84&lt;0,0,M84-$G84)</f>
        <v>0.76999999999999957</v>
      </c>
      <c r="DP84" s="189">
        <f t="shared" ref="DP84:DP137" si="1145">IF(N84-$G84&lt;0,0,N84-$G84)</f>
        <v>0.46999999999999975</v>
      </c>
      <c r="DQ84" s="189">
        <f t="shared" ref="DQ84:DQ137" si="1146">IF(O84-$G84&lt;0,0,O84-$G84)</f>
        <v>0.16999999999999993</v>
      </c>
      <c r="DR84" s="189">
        <f t="shared" ref="DR84:DR137" si="1147">IF(P84-$G84&lt;0,0,P84-$G84)</f>
        <v>0</v>
      </c>
      <c r="DS84" s="189">
        <f t="shared" ref="DS84:DS137" si="1148">IF(Q84-$G84&lt;0,0,Q84-$G84)</f>
        <v>0</v>
      </c>
      <c r="DT84" s="189">
        <f t="shared" ref="DT84:DT137" si="1149">IF(R84-$G84&lt;0,0,R84-$G84)</f>
        <v>0</v>
      </c>
      <c r="DU84" s="189">
        <f t="shared" ref="DU84:DU137" si="1150">IF(S84-$G84&lt;0,0,S84-$G84)</f>
        <v>0</v>
      </c>
      <c r="DV84" s="189">
        <f t="shared" ref="DV84:DV137" si="1151">IF(T84-$G84&lt;0,0,T84-$G84)</f>
        <v>0</v>
      </c>
      <c r="DW84" s="189">
        <f t="shared" ref="DW84:DW137" si="1152">IF(U84-$G84&lt;0,0,U84-$G84)</f>
        <v>0</v>
      </c>
      <c r="DX84" s="54"/>
      <c r="DY84" s="54"/>
      <c r="DZ84" s="199">
        <f t="shared" ca="1" si="1055"/>
        <v>112768.06005788714</v>
      </c>
      <c r="EA84" s="200">
        <f t="shared" ref="EA84:EA137" si="1153">IF($F84&lt;0,,IF($L84&gt;$F84,1,))</f>
        <v>1</v>
      </c>
      <c r="EB84" s="201">
        <f t="shared" ca="1" si="1056"/>
        <v>97126.826906261733</v>
      </c>
      <c r="EC84" s="200">
        <f t="shared" ref="EC84:EC137" si="1154">IF($F84&lt;0,,IF($L84&gt;$F84,1,))</f>
        <v>1</v>
      </c>
      <c r="ED84" s="201" cm="1">
        <f t="array" ref="ED84">IF(LEFT($AG84,3)="Res",IF(OR($DN84&gt;External_Threshold,$DD84&gt;0),1*Uplift*AWE*(External),0),0)</f>
        <v>15481.186685962373</v>
      </c>
      <c r="EE84" s="200">
        <f t="shared" ref="EE84:EE137" si="1155">IF($G84&lt;0,,IF($L84&gt;$G84,1,))</f>
        <v>1</v>
      </c>
      <c r="EF84" s="201">
        <f t="shared" si="1057"/>
        <v>0</v>
      </c>
      <c r="EG84" s="203">
        <f t="shared" ref="EG84:EG137" si="1156">IF(OR($AO84&gt;0,$AP84&gt;0),1,0)</f>
        <v>0</v>
      </c>
      <c r="EH84" s="199">
        <f t="shared" ca="1" si="1058"/>
        <v>82506.984442836474</v>
      </c>
      <c r="EI84" s="200">
        <f t="shared" si="1059"/>
        <v>1</v>
      </c>
      <c r="EJ84" s="201">
        <f t="shared" ca="1" si="1060"/>
        <v>63284.810913348025</v>
      </c>
      <c r="EK84" s="200">
        <f t="shared" si="1061"/>
        <v>1</v>
      </c>
      <c r="EL84" s="201" cm="1">
        <f t="array" ref="EL84">IF(LEFT($AG84,3)="Res",IF(OR($DO84&gt;External_Threshold,$DE84&gt;0),1*Uplift*AWE*(External),0),0)</f>
        <v>15481.186685962373</v>
      </c>
      <c r="EM84" s="200">
        <f t="shared" si="1062"/>
        <v>1</v>
      </c>
      <c r="EN84" s="201">
        <f t="shared" si="1063"/>
        <v>0</v>
      </c>
      <c r="EO84" s="203">
        <f t="shared" ref="EO84:EO137" si="1157">IF(OR($AR84&gt;0,$AS84&gt;0),1,0)</f>
        <v>0</v>
      </c>
      <c r="EP84" s="199">
        <f t="shared" ca="1" si="1064"/>
        <v>79910.015376266281</v>
      </c>
      <c r="EQ84" s="200">
        <f t="shared" si="1065"/>
        <v>1</v>
      </c>
      <c r="ER84" s="201">
        <f t="shared" ca="1" si="1066"/>
        <v>46349.906666365765</v>
      </c>
      <c r="ES84" s="200">
        <f t="shared" si="1067"/>
        <v>1</v>
      </c>
      <c r="ET84" s="201" cm="1">
        <f t="array" ref="ET84">IF(LEFT($AG84,3)="Res",IF(OR($DP84&gt;External_Threshold,$DF84&gt;0),1*Uplift*AWE*(External),0),0)</f>
        <v>15481.186685962373</v>
      </c>
      <c r="EU84" s="200">
        <f t="shared" si="1068"/>
        <v>1</v>
      </c>
      <c r="EV84" s="201">
        <f t="shared" si="1069"/>
        <v>0</v>
      </c>
      <c r="EW84" s="203">
        <f t="shared" ref="EW84:EW137" si="1158">IF(OR($AU84&gt;0,$AV84&gt;0),1,0)</f>
        <v>0</v>
      </c>
      <c r="EX84" s="199">
        <f t="shared" ca="1" si="1070"/>
        <v>4683.058972503618</v>
      </c>
      <c r="EY84" s="200">
        <f t="shared" si="1071"/>
        <v>0</v>
      </c>
      <c r="EZ84" s="201">
        <f t="shared" ca="1" si="1072"/>
        <v>0</v>
      </c>
      <c r="FA84" s="200">
        <f t="shared" si="1073"/>
        <v>0</v>
      </c>
      <c r="FB84" s="201" cm="1">
        <f t="array" ref="FB84">IF(LEFT($AG84,3)="Res",IF(OR($DQ84&gt;External_Threshold,$DG84&gt;0),1*Uplift*AWE*(External),0),0)</f>
        <v>0</v>
      </c>
      <c r="FC84" s="200">
        <f t="shared" si="1074"/>
        <v>1</v>
      </c>
      <c r="FD84" s="201">
        <f t="shared" si="1075"/>
        <v>0</v>
      </c>
      <c r="FE84" s="203">
        <f t="shared" ref="FE84:FE137" si="1159">IF(OR($AX84&gt;0,$AY84&gt;0),1,0)</f>
        <v>0</v>
      </c>
      <c r="FF84" s="199">
        <f t="shared" ca="1" si="1076"/>
        <v>0</v>
      </c>
      <c r="FG84" s="200">
        <f t="shared" si="1077"/>
        <v>0</v>
      </c>
      <c r="FH84" s="201">
        <f t="shared" ca="1" si="1078"/>
        <v>0</v>
      </c>
      <c r="FI84" s="200">
        <f t="shared" si="1079"/>
        <v>0</v>
      </c>
      <c r="FJ84" s="201" cm="1">
        <f t="array" ref="FJ84">IF(LEFT($AG84,3)="Res",IF(OR($DR84&gt;External_Threshold,$DH84&gt;0),1*Uplift*AWE*(External),0),0)</f>
        <v>0</v>
      </c>
      <c r="FK84" s="200">
        <f t="shared" si="1080"/>
        <v>0</v>
      </c>
      <c r="FL84" s="201">
        <f t="shared" si="1081"/>
        <v>0</v>
      </c>
      <c r="FM84" s="203">
        <f t="shared" ref="FM84:FM137" si="1160">IF(OR($BA84&gt;0,$BB84&gt;0),1,0)</f>
        <v>0</v>
      </c>
      <c r="FN84" s="199">
        <f t="shared" ca="1" si="1082"/>
        <v>0</v>
      </c>
      <c r="FO84" s="200">
        <f t="shared" si="1083"/>
        <v>0</v>
      </c>
      <c r="FP84" s="201">
        <f t="shared" ca="1" si="1084"/>
        <v>0</v>
      </c>
      <c r="FQ84" s="200">
        <f t="shared" si="1085"/>
        <v>0</v>
      </c>
      <c r="FR84" s="201" cm="1">
        <f t="array" ref="FR84">IF(LEFT($AG84,3)="Res",IF(OR($DS84&gt;External_Threshold,$DI84&gt;0),1*Uplift*AWE*(External),0),0)</f>
        <v>0</v>
      </c>
      <c r="FS84" s="200">
        <f t="shared" si="1086"/>
        <v>0</v>
      </c>
      <c r="FT84" s="201">
        <f t="shared" si="1087"/>
        <v>0</v>
      </c>
      <c r="FU84" s="203">
        <f t="shared" ref="FU84:FU137" si="1161">IF(OR($BD84&gt;0,$BE84&gt;0),1,0)</f>
        <v>0</v>
      </c>
      <c r="FV84" s="199">
        <f t="shared" ca="1" si="1088"/>
        <v>0</v>
      </c>
      <c r="FW84" s="200">
        <f t="shared" si="1089"/>
        <v>0</v>
      </c>
      <c r="FX84" s="201">
        <f t="shared" ca="1" si="1090"/>
        <v>0</v>
      </c>
      <c r="FY84" s="200">
        <f t="shared" si="1091"/>
        <v>0</v>
      </c>
      <c r="FZ84" s="201" cm="1">
        <f t="array" ref="FZ84">IF(LEFT($AG84,3)="Res",IF(OR($DT84&gt;External_Threshold,$DJ84&gt;0),1*Uplift*AWE*(External),0),0)</f>
        <v>0</v>
      </c>
      <c r="GA84" s="200">
        <f t="shared" si="1092"/>
        <v>0</v>
      </c>
      <c r="GB84" s="201">
        <f t="shared" si="1093"/>
        <v>0</v>
      </c>
      <c r="GC84" s="203">
        <f t="shared" ref="GC84:GC137" si="1162">IF(OR($BG84&gt;0,$BH84&gt;0),1,0)</f>
        <v>0</v>
      </c>
      <c r="GD84" s="199">
        <f t="shared" ca="1" si="1094"/>
        <v>0</v>
      </c>
      <c r="GE84" s="200">
        <f t="shared" si="1095"/>
        <v>0</v>
      </c>
      <c r="GF84" s="201">
        <f t="shared" ca="1" si="1096"/>
        <v>0</v>
      </c>
      <c r="GG84" s="200">
        <f t="shared" si="1097"/>
        <v>0</v>
      </c>
      <c r="GH84" s="201" cm="1">
        <f t="array" ref="GH84">IF(LEFT($AG84,3)="Res",IF(OR($DU84&gt;External_Threshold,$DK84&gt;0),1*Uplift*AWE*(External),0),0)</f>
        <v>0</v>
      </c>
      <c r="GI84" s="200">
        <f t="shared" si="1098"/>
        <v>0</v>
      </c>
      <c r="GJ84" s="201">
        <f t="shared" si="1099"/>
        <v>0</v>
      </c>
      <c r="GK84" s="203">
        <f t="shared" ref="GK84:GK137" si="1163">IF(OR($BJ84&gt;0,$BK84&gt;0),1,0)</f>
        <v>0</v>
      </c>
      <c r="GL84" s="199">
        <f t="shared" ca="1" si="1100"/>
        <v>0</v>
      </c>
      <c r="GM84" s="200">
        <f t="shared" si="1101"/>
        <v>0</v>
      </c>
      <c r="GN84" s="201">
        <f t="shared" ca="1" si="1102"/>
        <v>0</v>
      </c>
      <c r="GO84" s="200">
        <f t="shared" si="1103"/>
        <v>0</v>
      </c>
      <c r="GP84" s="201" cm="1">
        <f t="array" ref="GP84">IF(LEFT($AG84,3)="Res",IF(OR($DV84&gt;External_Threshold,$DL84&gt;0),1*Uplift*AWE*(External),0),0)</f>
        <v>0</v>
      </c>
      <c r="GQ84" s="200">
        <f t="shared" si="1104"/>
        <v>0</v>
      </c>
      <c r="GR84" s="201">
        <f t="shared" si="1105"/>
        <v>0</v>
      </c>
      <c r="GS84" s="203">
        <f t="shared" ref="GS84:GS137" si="1164">IF(OR($BM84&gt;0,$BN84&gt;0),1,0)</f>
        <v>0</v>
      </c>
      <c r="GT84" s="199">
        <f t="shared" ca="1" si="1106"/>
        <v>0</v>
      </c>
      <c r="GU84" s="200">
        <f t="shared" si="1107"/>
        <v>0</v>
      </c>
      <c r="GV84" s="201">
        <f t="shared" ca="1" si="1108"/>
        <v>0</v>
      </c>
      <c r="GW84" s="200">
        <f t="shared" si="1109"/>
        <v>0</v>
      </c>
      <c r="GX84" s="201" cm="1">
        <f t="array" ref="GX84">IF(LEFT($AG84,3)="Res",IF(OR($DW84&gt;External_Threshold,$DM84&gt;0),1*Uplift*AWE*(External),0),0)</f>
        <v>0</v>
      </c>
      <c r="GY84" s="200">
        <f t="shared" si="1110"/>
        <v>0</v>
      </c>
      <c r="GZ84" s="201">
        <f t="shared" si="1111"/>
        <v>0</v>
      </c>
      <c r="HA84" s="203">
        <f t="shared" ref="HA84:HA137" si="1165">IF(OR($BP84&gt;0,$BQ84&gt;0),1,0)</f>
        <v>0</v>
      </c>
      <c r="HB84" s="54"/>
      <c r="HC84" s="54"/>
      <c r="HD84" s="54"/>
      <c r="HE84" s="54"/>
      <c r="HF84" s="54"/>
      <c r="HG84" s="201">
        <f t="shared" ref="HG84:HG137" ca="1" si="1166">SUM($DZ84,$EB84,$ED84,$EF84)</f>
        <v>225376.07365011124</v>
      </c>
      <c r="HH84" s="201">
        <f t="shared" ref="HH84:HH137" ca="1" si="1167">SUM($EH84,$EJ84,$EL84,$EN84)</f>
        <v>161272.98204214688</v>
      </c>
      <c r="HI84" s="201">
        <f t="shared" ref="HI84:HI137" ca="1" si="1168">SUM($EP84,$ER84,$ET84,$EV84)</f>
        <v>141741.10872859441</v>
      </c>
      <c r="HJ84" s="201">
        <f t="shared" ref="HJ84:HJ137" ca="1" si="1169">SUM($EX84,$EZ84,$FB84,$FD84)</f>
        <v>4683.058972503618</v>
      </c>
      <c r="HK84" s="201">
        <f t="shared" ref="HK84:HK137" ca="1" si="1170">SUM($FF84,$FH84,$FJ84,$FL84)</f>
        <v>0</v>
      </c>
      <c r="HL84" s="201">
        <f t="shared" ref="HL84:HL137" ca="1" si="1171">SUM($FN84,$FP84,$FR84,$FT84)</f>
        <v>0</v>
      </c>
      <c r="HM84" s="201">
        <f t="shared" ref="HM84:HM137" ca="1" si="1172">SUM($FV84,$FX84,$FZ84,$GB84)</f>
        <v>0</v>
      </c>
      <c r="HN84" s="201">
        <f t="shared" ref="HN84:HN137" ca="1" si="1173">SUM($GD84,$GF84,$GH84,$GJ84)</f>
        <v>0</v>
      </c>
      <c r="HO84" s="201">
        <f t="shared" ref="HO84:HO137" ca="1" si="1174">SUM($GL84,$GN84,$GP84,$GR84)</f>
        <v>0</v>
      </c>
      <c r="HP84" s="201">
        <f t="shared" ref="HP84:HP137" ca="1" si="1175">SUM($GT84,$GV84,$GX84,$GZ84)</f>
        <v>0</v>
      </c>
      <c r="HQ84" s="54"/>
    </row>
    <row r="85" spans="1:225" x14ac:dyDescent="0.3">
      <c r="A85" s="513">
        <v>67</v>
      </c>
      <c r="B85" s="514" t="s">
        <v>490</v>
      </c>
      <c r="C85" s="514" t="s">
        <v>390</v>
      </c>
      <c r="D85" s="514" t="s">
        <v>390</v>
      </c>
      <c r="E85" s="513">
        <v>1</v>
      </c>
      <c r="F85" s="515">
        <v>6.33</v>
      </c>
      <c r="G85" s="515">
        <v>5.88</v>
      </c>
      <c r="H85" s="513">
        <v>2</v>
      </c>
      <c r="I85" s="517">
        <v>1</v>
      </c>
      <c r="J85" s="518" t="s">
        <v>44</v>
      </c>
      <c r="K85" s="513">
        <f t="shared" si="1044"/>
        <v>240</v>
      </c>
      <c r="L85" s="519">
        <v>7.74</v>
      </c>
      <c r="M85" s="519">
        <v>6.6199999999999992</v>
      </c>
      <c r="N85" s="519">
        <v>6.3199999999999994</v>
      </c>
      <c r="O85" s="519">
        <v>6.02</v>
      </c>
      <c r="P85" s="519">
        <v>5.47</v>
      </c>
      <c r="Q85" s="519">
        <v>5</v>
      </c>
      <c r="R85" s="519">
        <v>4.2</v>
      </c>
      <c r="S85" s="519">
        <v>0</v>
      </c>
      <c r="T85" s="519">
        <v>0</v>
      </c>
      <c r="U85" s="519">
        <v>0</v>
      </c>
      <c r="V85" s="536"/>
      <c r="W85" s="536"/>
      <c r="X85" s="536"/>
      <c r="Y85" s="536"/>
      <c r="Z85" s="536"/>
      <c r="AA85" s="536"/>
      <c r="AB85" s="536"/>
      <c r="AC85" s="536"/>
      <c r="AD85" s="536"/>
      <c r="AE85" s="536"/>
      <c r="AF85" s="54"/>
      <c r="AG85" s="204" t="str">
        <f t="shared" si="465"/>
        <v>Res1</v>
      </c>
      <c r="AH85" s="204">
        <f t="shared" si="1112"/>
        <v>6</v>
      </c>
      <c r="AI85" s="204">
        <f t="shared" si="1045"/>
        <v>1</v>
      </c>
      <c r="AJ85" s="54"/>
      <c r="AK85" s="74">
        <f>IFERROR(IF(H85&gt;4,0,AI85*Inputs!$C$55),0)</f>
        <v>2.6</v>
      </c>
      <c r="AL85" s="81">
        <f>IFERROR(Inputs!$C$73,0)</f>
        <v>5</v>
      </c>
      <c r="AM85" s="211">
        <f>IFERROR(Inputs!$C$74,0)</f>
        <v>0.24299999999999999</v>
      </c>
      <c r="AN85" s="446">
        <f>IFERROR(HLOOKUP(HLOOKUP(AN$17,$V$18:$AE85,COUNTA($AK$18:$AK85),FALSE),Inputs!$B$58:$H$59,2,FALSE),0)</f>
        <v>0</v>
      </c>
      <c r="AO85" s="447">
        <f t="shared" si="1113"/>
        <v>0</v>
      </c>
      <c r="AP85" s="447">
        <f t="shared" si="1114"/>
        <v>0</v>
      </c>
      <c r="AQ85" s="446">
        <f>IFERROR(HLOOKUP(HLOOKUP(AQ$17,$V$18:$AE85,COUNTA($AK$18:$AK85),FALSE),Inputs!$B$58:$H$59,2,FALSE),0)</f>
        <v>0</v>
      </c>
      <c r="AR85" s="447">
        <f t="shared" ref="AR85" si="1176">2*$AK85*AQ85*$AL85/100*$AM85</f>
        <v>0</v>
      </c>
      <c r="AS85" s="447">
        <f t="shared" si="1116"/>
        <v>0</v>
      </c>
      <c r="AT85" s="446">
        <f>IFERROR(HLOOKUP(HLOOKUP(AT$17,$V$18:$AE85,COUNTA($AK$18:$AK85),FALSE),Inputs!$B$58:$H$59,2,FALSE),0)</f>
        <v>0</v>
      </c>
      <c r="AU85" s="447">
        <f t="shared" ref="AU85" si="1177">2*$AK85*AT85*$AL85/100*$AM85</f>
        <v>0</v>
      </c>
      <c r="AV85" s="447">
        <f t="shared" si="1118"/>
        <v>0</v>
      </c>
      <c r="AW85" s="446">
        <f>IFERROR(HLOOKUP(HLOOKUP(AW$17,$V$18:$AE85,COUNTA($AK$18:$AK85),FALSE),Inputs!$B$58:$H$59,2,FALSE),0)</f>
        <v>0</v>
      </c>
      <c r="AX85" s="447">
        <f t="shared" ref="AX85" si="1178">2*$AK85*AW85*$AL85/100*$AM85</f>
        <v>0</v>
      </c>
      <c r="AY85" s="447">
        <f t="shared" si="1120"/>
        <v>0</v>
      </c>
      <c r="AZ85" s="446">
        <f>IFERROR(HLOOKUP(HLOOKUP(AZ$17,$V$18:$AE85,COUNTA($AK$18:$AK85),FALSE),Inputs!$B$58:$H$59,2,FALSE),0)</f>
        <v>0</v>
      </c>
      <c r="BA85" s="447">
        <f t="shared" ref="BA85" si="1179">2*$AK85*AZ85*$AL85/100*$AM85</f>
        <v>0</v>
      </c>
      <c r="BB85" s="447">
        <f t="shared" si="1122"/>
        <v>0</v>
      </c>
      <c r="BC85" s="446">
        <f>IFERROR(HLOOKUP(HLOOKUP(BC$17,$V$18:$AE85,COUNTA($AK$18:$AK85),FALSE),Inputs!$B$58:$H$59,2,FALSE),0)</f>
        <v>0</v>
      </c>
      <c r="BD85" s="447">
        <f t="shared" ref="BD85" si="1180">2*$AK85*BC85*$AL85/100*$AM85</f>
        <v>0</v>
      </c>
      <c r="BE85" s="447">
        <f t="shared" si="1124"/>
        <v>0</v>
      </c>
      <c r="BF85" s="446">
        <f>IFERROR(HLOOKUP(HLOOKUP(BF$17,$V$18:$AE85,COUNTA($AK$18:$AK85),FALSE),Inputs!$B$58:$H$59,2,FALSE),0)</f>
        <v>0</v>
      </c>
      <c r="BG85" s="447">
        <f t="shared" ref="BG85" si="1181">2*$AK85*BF85*$AL85/100*$AM85</f>
        <v>0</v>
      </c>
      <c r="BH85" s="447">
        <f t="shared" si="1126"/>
        <v>0</v>
      </c>
      <c r="BI85" s="446">
        <f>IFERROR(HLOOKUP(HLOOKUP(BI$17,$V$18:$AE85,COUNTA($AK$18:$AK85),FALSE),Inputs!$B$58:$H$59,2,FALSE),0)</f>
        <v>0</v>
      </c>
      <c r="BJ85" s="447">
        <f t="shared" ref="BJ85" si="1182">2*$AK85*BI85*$AL85/100*$AM85</f>
        <v>0</v>
      </c>
      <c r="BK85" s="447">
        <f t="shared" si="1128"/>
        <v>0</v>
      </c>
      <c r="BL85" s="446">
        <f>IFERROR(HLOOKUP(HLOOKUP(BL$17,$V$18:$AE85,COUNTA($AK$18:$AK85),FALSE),Inputs!$B$58:$H$59,2,FALSE),0)</f>
        <v>0</v>
      </c>
      <c r="BM85" s="447">
        <f t="shared" ref="BM85" si="1183">2*$AK85*BL85*$AL85/100*$AM85</f>
        <v>0</v>
      </c>
      <c r="BN85" s="447">
        <f t="shared" si="1130"/>
        <v>0</v>
      </c>
      <c r="BO85" s="446">
        <f>IFERROR(HLOOKUP(HLOOKUP(BO$17,$V$18:$AE85,COUNTA($AK$18:$AK85),FALSE),Inputs!$B$58:$H$59,2,FALSE),0)</f>
        <v>0</v>
      </c>
      <c r="BP85" s="447">
        <f t="shared" ref="BP85" si="1184">2*$AK85*BO85*$AL85/100*$AM85</f>
        <v>0</v>
      </c>
      <c r="BQ85" s="447">
        <f t="shared" si="1132"/>
        <v>0</v>
      </c>
      <c r="BR85" s="54"/>
      <c r="BS85" s="103">
        <f t="shared" ca="1" si="735"/>
        <v>443.27758658465996</v>
      </c>
      <c r="BT85" s="103">
        <f t="shared" ca="1" si="396"/>
        <v>274.58303562962737</v>
      </c>
      <c r="BU85" s="103">
        <f t="shared" si="397"/>
        <v>115.95408827785818</v>
      </c>
      <c r="BV85" s="103">
        <f t="shared" si="398"/>
        <v>0</v>
      </c>
      <c r="BW85" s="152">
        <f t="shared" ca="1" si="399"/>
        <v>833.81471049214554</v>
      </c>
      <c r="BX85" s="441"/>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188">
        <f t="shared" si="1133"/>
        <v>1.4100000000000001</v>
      </c>
      <c r="DE85" s="188">
        <f t="shared" si="1134"/>
        <v>0.28999999999999915</v>
      </c>
      <c r="DF85" s="188">
        <f t="shared" si="1135"/>
        <v>-1.0000000000000675E-2</v>
      </c>
      <c r="DG85" s="188">
        <f t="shared" si="1136"/>
        <v>-0.3</v>
      </c>
      <c r="DH85" s="188">
        <f t="shared" si="1137"/>
        <v>-0.3</v>
      </c>
      <c r="DI85" s="188">
        <f t="shared" si="1138"/>
        <v>-0.3</v>
      </c>
      <c r="DJ85" s="188">
        <f t="shared" si="1139"/>
        <v>-0.3</v>
      </c>
      <c r="DK85" s="188">
        <f t="shared" si="1140"/>
        <v>-0.3</v>
      </c>
      <c r="DL85" s="188">
        <f t="shared" si="1141"/>
        <v>-0.3</v>
      </c>
      <c r="DM85" s="188">
        <f t="shared" si="1142"/>
        <v>-0.3</v>
      </c>
      <c r="DN85" s="189">
        <f t="shared" si="1143"/>
        <v>1.8600000000000003</v>
      </c>
      <c r="DO85" s="189">
        <f t="shared" si="1144"/>
        <v>0.73999999999999932</v>
      </c>
      <c r="DP85" s="189">
        <f t="shared" si="1145"/>
        <v>0.4399999999999995</v>
      </c>
      <c r="DQ85" s="189">
        <f t="shared" si="1146"/>
        <v>0.13999999999999968</v>
      </c>
      <c r="DR85" s="189">
        <f t="shared" si="1147"/>
        <v>0</v>
      </c>
      <c r="DS85" s="189">
        <f t="shared" si="1148"/>
        <v>0</v>
      </c>
      <c r="DT85" s="189">
        <f t="shared" si="1149"/>
        <v>0</v>
      </c>
      <c r="DU85" s="189">
        <f t="shared" si="1150"/>
        <v>0</v>
      </c>
      <c r="DV85" s="189">
        <f t="shared" si="1151"/>
        <v>0</v>
      </c>
      <c r="DW85" s="189">
        <f t="shared" si="1152"/>
        <v>0</v>
      </c>
      <c r="DX85" s="54"/>
      <c r="DY85" s="54"/>
      <c r="DZ85" s="199">
        <f t="shared" ca="1" si="1055"/>
        <v>142092.52387843709</v>
      </c>
      <c r="EA85" s="200">
        <f t="shared" si="1153"/>
        <v>1</v>
      </c>
      <c r="EB85" s="201">
        <f t="shared" ca="1" si="1056"/>
        <v>118608.75563481879</v>
      </c>
      <c r="EC85" s="200">
        <f t="shared" si="1154"/>
        <v>1</v>
      </c>
      <c r="ED85" s="201" cm="1">
        <f t="array" ref="ED85">IF(LEFT($AG85,3)="Res",IF(OR($DN85&gt;External_Threshold,$DD85&gt;0),1*Uplift*AWE*(External),0),0)</f>
        <v>15481.186685962373</v>
      </c>
      <c r="EE85" s="200">
        <f t="shared" si="1155"/>
        <v>1</v>
      </c>
      <c r="EF85" s="201">
        <f t="shared" si="1057"/>
        <v>0</v>
      </c>
      <c r="EG85" s="203">
        <f t="shared" si="1156"/>
        <v>0</v>
      </c>
      <c r="EH85" s="199">
        <f t="shared" ca="1" si="1058"/>
        <v>108987.5542691751</v>
      </c>
      <c r="EI85" s="200">
        <f t="shared" si="1059"/>
        <v>1</v>
      </c>
      <c r="EJ85" s="201">
        <f t="shared" ca="1" si="1060"/>
        <v>62752.434377948979</v>
      </c>
      <c r="EK85" s="200">
        <f t="shared" si="1061"/>
        <v>1</v>
      </c>
      <c r="EL85" s="201" cm="1">
        <f t="array" ref="EL85">IF(LEFT($AG85,3)="Res",IF(OR($DO85&gt;External_Threshold,$DE85&gt;0),1*Uplift*AWE*(External),0),0)</f>
        <v>15481.186685962373</v>
      </c>
      <c r="EM85" s="200">
        <f t="shared" si="1062"/>
        <v>1</v>
      </c>
      <c r="EN85" s="201">
        <f t="shared" si="1063"/>
        <v>0</v>
      </c>
      <c r="EO85" s="203">
        <f t="shared" si="1157"/>
        <v>0</v>
      </c>
      <c r="EP85" s="199">
        <f t="shared" ca="1" si="1064"/>
        <v>7492.8943560057887</v>
      </c>
      <c r="EQ85" s="200">
        <f t="shared" si="1065"/>
        <v>0</v>
      </c>
      <c r="ER85" s="201">
        <f t="shared" ca="1" si="1066"/>
        <v>0</v>
      </c>
      <c r="ES85" s="200">
        <f t="shared" si="1067"/>
        <v>0</v>
      </c>
      <c r="ET85" s="201" cm="1">
        <f t="array" ref="ET85">IF(LEFT($AG85,3)="Res",IF(OR($DP85&gt;External_Threshold,$DF85&gt;0),1*Uplift*AWE*(External),0),0)</f>
        <v>15481.186685962373</v>
      </c>
      <c r="EU85" s="200">
        <f t="shared" si="1068"/>
        <v>1</v>
      </c>
      <c r="EV85" s="201">
        <f t="shared" si="1069"/>
        <v>0</v>
      </c>
      <c r="EW85" s="203">
        <f t="shared" si="1158"/>
        <v>0</v>
      </c>
      <c r="EX85" s="199">
        <f t="shared" ca="1" si="1070"/>
        <v>0</v>
      </c>
      <c r="EY85" s="200">
        <f t="shared" si="1071"/>
        <v>0</v>
      </c>
      <c r="EZ85" s="201">
        <f t="shared" ca="1" si="1072"/>
        <v>0</v>
      </c>
      <c r="FA85" s="200">
        <f t="shared" si="1073"/>
        <v>0</v>
      </c>
      <c r="FB85" s="201" cm="1">
        <f t="array" ref="FB85">IF(LEFT($AG85,3)="Res",IF(OR($DQ85&gt;External_Threshold,$DG85&gt;0),1*Uplift*AWE*(External),0),0)</f>
        <v>0</v>
      </c>
      <c r="FC85" s="200">
        <f t="shared" si="1074"/>
        <v>1</v>
      </c>
      <c r="FD85" s="201">
        <f t="shared" si="1075"/>
        <v>0</v>
      </c>
      <c r="FE85" s="203">
        <f t="shared" si="1159"/>
        <v>0</v>
      </c>
      <c r="FF85" s="199">
        <f t="shared" ca="1" si="1076"/>
        <v>0</v>
      </c>
      <c r="FG85" s="200">
        <f t="shared" si="1077"/>
        <v>0</v>
      </c>
      <c r="FH85" s="201">
        <f t="shared" ca="1" si="1078"/>
        <v>0</v>
      </c>
      <c r="FI85" s="200">
        <f t="shared" si="1079"/>
        <v>0</v>
      </c>
      <c r="FJ85" s="201" cm="1">
        <f t="array" ref="FJ85">IF(LEFT($AG85,3)="Res",IF(OR($DR85&gt;External_Threshold,$DH85&gt;0),1*Uplift*AWE*(External),0),0)</f>
        <v>0</v>
      </c>
      <c r="FK85" s="200">
        <f t="shared" si="1080"/>
        <v>0</v>
      </c>
      <c r="FL85" s="201">
        <f t="shared" si="1081"/>
        <v>0</v>
      </c>
      <c r="FM85" s="203">
        <f t="shared" si="1160"/>
        <v>0</v>
      </c>
      <c r="FN85" s="199">
        <f t="shared" ca="1" si="1082"/>
        <v>0</v>
      </c>
      <c r="FO85" s="200">
        <f t="shared" si="1083"/>
        <v>0</v>
      </c>
      <c r="FP85" s="201">
        <f t="shared" ca="1" si="1084"/>
        <v>0</v>
      </c>
      <c r="FQ85" s="200">
        <f t="shared" si="1085"/>
        <v>0</v>
      </c>
      <c r="FR85" s="201" cm="1">
        <f t="array" ref="FR85">IF(LEFT($AG85,3)="Res",IF(OR($DS85&gt;External_Threshold,$DI85&gt;0),1*Uplift*AWE*(External),0),0)</f>
        <v>0</v>
      </c>
      <c r="FS85" s="200">
        <f t="shared" si="1086"/>
        <v>0</v>
      </c>
      <c r="FT85" s="201">
        <f t="shared" si="1087"/>
        <v>0</v>
      </c>
      <c r="FU85" s="203">
        <f t="shared" si="1161"/>
        <v>0</v>
      </c>
      <c r="FV85" s="199">
        <f t="shared" ca="1" si="1088"/>
        <v>0</v>
      </c>
      <c r="FW85" s="200">
        <f t="shared" si="1089"/>
        <v>0</v>
      </c>
      <c r="FX85" s="201">
        <f t="shared" ca="1" si="1090"/>
        <v>0</v>
      </c>
      <c r="FY85" s="200">
        <f t="shared" si="1091"/>
        <v>0</v>
      </c>
      <c r="FZ85" s="201" cm="1">
        <f t="array" ref="FZ85">IF(LEFT($AG85,3)="Res",IF(OR($DT85&gt;External_Threshold,$DJ85&gt;0),1*Uplift*AWE*(External),0),0)</f>
        <v>0</v>
      </c>
      <c r="GA85" s="200">
        <f t="shared" si="1092"/>
        <v>0</v>
      </c>
      <c r="GB85" s="201">
        <f t="shared" si="1093"/>
        <v>0</v>
      </c>
      <c r="GC85" s="203">
        <f t="shared" si="1162"/>
        <v>0</v>
      </c>
      <c r="GD85" s="199">
        <f t="shared" ca="1" si="1094"/>
        <v>0</v>
      </c>
      <c r="GE85" s="200">
        <f t="shared" si="1095"/>
        <v>0</v>
      </c>
      <c r="GF85" s="201">
        <f t="shared" ca="1" si="1096"/>
        <v>0</v>
      </c>
      <c r="GG85" s="200">
        <f t="shared" si="1097"/>
        <v>0</v>
      </c>
      <c r="GH85" s="201" cm="1">
        <f t="array" ref="GH85">IF(LEFT($AG85,3)="Res",IF(OR($DU85&gt;External_Threshold,$DK85&gt;0),1*Uplift*AWE*(External),0),0)</f>
        <v>0</v>
      </c>
      <c r="GI85" s="200">
        <f t="shared" si="1098"/>
        <v>0</v>
      </c>
      <c r="GJ85" s="201">
        <f t="shared" si="1099"/>
        <v>0</v>
      </c>
      <c r="GK85" s="203">
        <f t="shared" si="1163"/>
        <v>0</v>
      </c>
      <c r="GL85" s="199">
        <f t="shared" ca="1" si="1100"/>
        <v>0</v>
      </c>
      <c r="GM85" s="200">
        <f t="shared" si="1101"/>
        <v>0</v>
      </c>
      <c r="GN85" s="201">
        <f t="shared" ca="1" si="1102"/>
        <v>0</v>
      </c>
      <c r="GO85" s="200">
        <f t="shared" si="1103"/>
        <v>0</v>
      </c>
      <c r="GP85" s="201" cm="1">
        <f t="array" ref="GP85">IF(LEFT($AG85,3)="Res",IF(OR($DV85&gt;External_Threshold,$DL85&gt;0),1*Uplift*AWE*(External),0),0)</f>
        <v>0</v>
      </c>
      <c r="GQ85" s="200">
        <f t="shared" si="1104"/>
        <v>0</v>
      </c>
      <c r="GR85" s="201">
        <f t="shared" si="1105"/>
        <v>0</v>
      </c>
      <c r="GS85" s="203">
        <f t="shared" si="1164"/>
        <v>0</v>
      </c>
      <c r="GT85" s="199">
        <f t="shared" ca="1" si="1106"/>
        <v>0</v>
      </c>
      <c r="GU85" s="200">
        <f t="shared" si="1107"/>
        <v>0</v>
      </c>
      <c r="GV85" s="201">
        <f t="shared" ca="1" si="1108"/>
        <v>0</v>
      </c>
      <c r="GW85" s="200">
        <f t="shared" si="1109"/>
        <v>0</v>
      </c>
      <c r="GX85" s="201" cm="1">
        <f t="array" ref="GX85">IF(LEFT($AG85,3)="Res",IF(OR($DW85&gt;External_Threshold,$DM85&gt;0),1*Uplift*AWE*(External),0),0)</f>
        <v>0</v>
      </c>
      <c r="GY85" s="200">
        <f t="shared" si="1110"/>
        <v>0</v>
      </c>
      <c r="GZ85" s="201">
        <f t="shared" si="1111"/>
        <v>0</v>
      </c>
      <c r="HA85" s="203">
        <f t="shared" si="1165"/>
        <v>0</v>
      </c>
      <c r="HB85" s="54"/>
      <c r="HC85" s="54"/>
      <c r="HD85" s="54"/>
      <c r="HE85" s="54"/>
      <c r="HF85" s="54"/>
      <c r="HG85" s="201">
        <f t="shared" ca="1" si="1166"/>
        <v>276182.46619921824</v>
      </c>
      <c r="HH85" s="201">
        <f t="shared" ca="1" si="1167"/>
        <v>187221.17533308646</v>
      </c>
      <c r="HI85" s="201">
        <f t="shared" ca="1" si="1168"/>
        <v>22974.081041968162</v>
      </c>
      <c r="HJ85" s="201">
        <f t="shared" ca="1" si="1169"/>
        <v>0</v>
      </c>
      <c r="HK85" s="201">
        <f t="shared" ca="1" si="1170"/>
        <v>0</v>
      </c>
      <c r="HL85" s="201">
        <f t="shared" ca="1" si="1171"/>
        <v>0</v>
      </c>
      <c r="HM85" s="201">
        <f t="shared" ca="1" si="1172"/>
        <v>0</v>
      </c>
      <c r="HN85" s="201">
        <f t="shared" ca="1" si="1173"/>
        <v>0</v>
      </c>
      <c r="HO85" s="201">
        <f t="shared" ca="1" si="1174"/>
        <v>0</v>
      </c>
      <c r="HP85" s="201">
        <f t="shared" ca="1" si="1175"/>
        <v>0</v>
      </c>
      <c r="HQ85" s="54"/>
    </row>
    <row r="86" spans="1:225" x14ac:dyDescent="0.3">
      <c r="A86" s="513">
        <v>68</v>
      </c>
      <c r="B86" s="514" t="s">
        <v>491</v>
      </c>
      <c r="C86" s="514" t="s">
        <v>390</v>
      </c>
      <c r="D86" s="514" t="s">
        <v>390</v>
      </c>
      <c r="E86" s="513">
        <v>1</v>
      </c>
      <c r="F86" s="515">
        <v>6.15</v>
      </c>
      <c r="G86" s="515">
        <v>5.58</v>
      </c>
      <c r="H86" s="513">
        <v>1</v>
      </c>
      <c r="I86" s="517">
        <v>1</v>
      </c>
      <c r="J86" s="518" t="s">
        <v>295</v>
      </c>
      <c r="K86" s="513">
        <f t="shared" si="1044"/>
        <v>220</v>
      </c>
      <c r="L86" s="519">
        <v>7.74</v>
      </c>
      <c r="M86" s="519">
        <v>6.6199999999999992</v>
      </c>
      <c r="N86" s="519">
        <v>6.3199999999999994</v>
      </c>
      <c r="O86" s="519">
        <v>6.02</v>
      </c>
      <c r="P86" s="519">
        <v>5.47</v>
      </c>
      <c r="Q86" s="519">
        <v>5</v>
      </c>
      <c r="R86" s="519">
        <v>4.2</v>
      </c>
      <c r="S86" s="519">
        <v>0</v>
      </c>
      <c r="T86" s="519">
        <v>0</v>
      </c>
      <c r="U86" s="519">
        <v>0</v>
      </c>
      <c r="V86" s="536"/>
      <c r="W86" s="536"/>
      <c r="X86" s="536"/>
      <c r="Y86" s="536"/>
      <c r="Z86" s="536"/>
      <c r="AA86" s="536"/>
      <c r="AB86" s="536"/>
      <c r="AC86" s="536"/>
      <c r="AD86" s="536"/>
      <c r="AE86" s="536"/>
      <c r="AF86" s="54"/>
      <c r="AG86" s="204" t="str">
        <f t="shared" si="465"/>
        <v>Res1</v>
      </c>
      <c r="AH86" s="204">
        <f t="shared" si="1112"/>
        <v>6</v>
      </c>
      <c r="AI86" s="204">
        <f t="shared" si="1045"/>
        <v>1</v>
      </c>
      <c r="AJ86" s="54"/>
      <c r="AK86" s="74">
        <f>IFERROR(IF(H86&gt;4,0,AI86*Inputs!$C$55),0)</f>
        <v>2.6</v>
      </c>
      <c r="AL86" s="81">
        <f>IFERROR(Inputs!$C$73,0)</f>
        <v>5</v>
      </c>
      <c r="AM86" s="211">
        <f>IFERROR(Inputs!$C$74,0)</f>
        <v>0.24299999999999999</v>
      </c>
      <c r="AN86" s="446">
        <f>IFERROR(HLOOKUP(HLOOKUP(AN$17,$V$18:$AE86,COUNTA($AK$18:$AK86),FALSE),Inputs!$B$58:$H$59,2,FALSE),0)</f>
        <v>0</v>
      </c>
      <c r="AO86" s="447">
        <f t="shared" si="1113"/>
        <v>0</v>
      </c>
      <c r="AP86" s="447">
        <f t="shared" si="1114"/>
        <v>0</v>
      </c>
      <c r="AQ86" s="446">
        <f>IFERROR(HLOOKUP(HLOOKUP(AQ$17,$V$18:$AE86,COUNTA($AK$18:$AK86),FALSE),Inputs!$B$58:$H$59,2,FALSE),0)</f>
        <v>0</v>
      </c>
      <c r="AR86" s="447">
        <f t="shared" ref="AR86" si="1185">2*$AK86*AQ86*$AL86/100*$AM86</f>
        <v>0</v>
      </c>
      <c r="AS86" s="447">
        <f t="shared" si="1116"/>
        <v>0</v>
      </c>
      <c r="AT86" s="446">
        <f>IFERROR(HLOOKUP(HLOOKUP(AT$17,$V$18:$AE86,COUNTA($AK$18:$AK86),FALSE),Inputs!$B$58:$H$59,2,FALSE),0)</f>
        <v>0</v>
      </c>
      <c r="AU86" s="447">
        <f t="shared" ref="AU86" si="1186">2*$AK86*AT86*$AL86/100*$AM86</f>
        <v>0</v>
      </c>
      <c r="AV86" s="447">
        <f t="shared" si="1118"/>
        <v>0</v>
      </c>
      <c r="AW86" s="446">
        <f>IFERROR(HLOOKUP(HLOOKUP(AW$17,$V$18:$AE86,COUNTA($AK$18:$AK86),FALSE),Inputs!$B$58:$H$59,2,FALSE),0)</f>
        <v>0</v>
      </c>
      <c r="AX86" s="447">
        <f t="shared" ref="AX86" si="1187">2*$AK86*AW86*$AL86/100*$AM86</f>
        <v>0</v>
      </c>
      <c r="AY86" s="447">
        <f t="shared" si="1120"/>
        <v>0</v>
      </c>
      <c r="AZ86" s="446">
        <f>IFERROR(HLOOKUP(HLOOKUP(AZ$17,$V$18:$AE86,COUNTA($AK$18:$AK86),FALSE),Inputs!$B$58:$H$59,2,FALSE),0)</f>
        <v>0</v>
      </c>
      <c r="BA86" s="447">
        <f t="shared" ref="BA86" si="1188">2*$AK86*AZ86*$AL86/100*$AM86</f>
        <v>0</v>
      </c>
      <c r="BB86" s="447">
        <f t="shared" si="1122"/>
        <v>0</v>
      </c>
      <c r="BC86" s="446">
        <f>IFERROR(HLOOKUP(HLOOKUP(BC$17,$V$18:$AE86,COUNTA($AK$18:$AK86),FALSE),Inputs!$B$58:$H$59,2,FALSE),0)</f>
        <v>0</v>
      </c>
      <c r="BD86" s="447">
        <f t="shared" ref="BD86" si="1189">2*$AK86*BC86*$AL86/100*$AM86</f>
        <v>0</v>
      </c>
      <c r="BE86" s="447">
        <f t="shared" si="1124"/>
        <v>0</v>
      </c>
      <c r="BF86" s="446">
        <f>IFERROR(HLOOKUP(HLOOKUP(BF$17,$V$18:$AE86,COUNTA($AK$18:$AK86),FALSE),Inputs!$B$58:$H$59,2,FALSE),0)</f>
        <v>0</v>
      </c>
      <c r="BG86" s="447">
        <f t="shared" ref="BG86" si="1190">2*$AK86*BF86*$AL86/100*$AM86</f>
        <v>0</v>
      </c>
      <c r="BH86" s="447">
        <f t="shared" si="1126"/>
        <v>0</v>
      </c>
      <c r="BI86" s="446">
        <f>IFERROR(HLOOKUP(HLOOKUP(BI$17,$V$18:$AE86,COUNTA($AK$18:$AK86),FALSE),Inputs!$B$58:$H$59,2,FALSE),0)</f>
        <v>0</v>
      </c>
      <c r="BJ86" s="447">
        <f t="shared" ref="BJ86" si="1191">2*$AK86*BI86*$AL86/100*$AM86</f>
        <v>0</v>
      </c>
      <c r="BK86" s="447">
        <f t="shared" si="1128"/>
        <v>0</v>
      </c>
      <c r="BL86" s="446">
        <f>IFERROR(HLOOKUP(HLOOKUP(BL$17,$V$18:$AE86,COUNTA($AK$18:$AK86),FALSE),Inputs!$B$58:$H$59,2,FALSE),0)</f>
        <v>0</v>
      </c>
      <c r="BM86" s="447">
        <f t="shared" ref="BM86" si="1192">2*$AK86*BL86*$AL86/100*$AM86</f>
        <v>0</v>
      </c>
      <c r="BN86" s="447">
        <f t="shared" si="1130"/>
        <v>0</v>
      </c>
      <c r="BO86" s="446">
        <f>IFERROR(HLOOKUP(HLOOKUP(BO$17,$V$18:$AE86,COUNTA($AK$18:$AK86),FALSE),Inputs!$B$58:$H$59,2,FALSE),0)</f>
        <v>0</v>
      </c>
      <c r="BP86" s="447">
        <f t="shared" ref="BP86" si="1193">2*$AK86*BO86*$AL86/100*$AM86</f>
        <v>0</v>
      </c>
      <c r="BQ86" s="447">
        <f t="shared" si="1132"/>
        <v>0</v>
      </c>
      <c r="BR86" s="54"/>
      <c r="BS86" s="103">
        <f t="shared" ca="1" si="735"/>
        <v>855.02257608779541</v>
      </c>
      <c r="BT86" s="103">
        <f t="shared" ca="1" si="396"/>
        <v>460.69905875439071</v>
      </c>
      <c r="BU86" s="103">
        <f t="shared" si="397"/>
        <v>232.06298842257598</v>
      </c>
      <c r="BV86" s="103">
        <f t="shared" si="398"/>
        <v>0</v>
      </c>
      <c r="BW86" s="152">
        <f t="shared" ca="1" si="399"/>
        <v>1547.7846232647621</v>
      </c>
      <c r="BX86" s="441"/>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188">
        <f t="shared" si="1133"/>
        <v>1.5899999999999999</v>
      </c>
      <c r="DE86" s="188">
        <f t="shared" si="1134"/>
        <v>0.46999999999999886</v>
      </c>
      <c r="DF86" s="188">
        <f t="shared" si="1135"/>
        <v>0.16999999999999904</v>
      </c>
      <c r="DG86" s="188">
        <f t="shared" si="1136"/>
        <v>-0.13000000000000078</v>
      </c>
      <c r="DH86" s="188">
        <f t="shared" si="1137"/>
        <v>-0.3</v>
      </c>
      <c r="DI86" s="188">
        <f t="shared" si="1138"/>
        <v>-0.3</v>
      </c>
      <c r="DJ86" s="188">
        <f t="shared" si="1139"/>
        <v>-0.3</v>
      </c>
      <c r="DK86" s="188">
        <f t="shared" si="1140"/>
        <v>-0.3</v>
      </c>
      <c r="DL86" s="188">
        <f t="shared" si="1141"/>
        <v>-0.3</v>
      </c>
      <c r="DM86" s="188">
        <f t="shared" si="1142"/>
        <v>-0.3</v>
      </c>
      <c r="DN86" s="189">
        <f t="shared" si="1143"/>
        <v>2.16</v>
      </c>
      <c r="DO86" s="189">
        <f t="shared" si="1144"/>
        <v>1.0399999999999991</v>
      </c>
      <c r="DP86" s="189">
        <f t="shared" si="1145"/>
        <v>0.73999999999999932</v>
      </c>
      <c r="DQ86" s="189">
        <f t="shared" si="1146"/>
        <v>0.4399999999999995</v>
      </c>
      <c r="DR86" s="189">
        <f t="shared" si="1147"/>
        <v>0</v>
      </c>
      <c r="DS86" s="189">
        <f t="shared" si="1148"/>
        <v>0</v>
      </c>
      <c r="DT86" s="189">
        <f t="shared" si="1149"/>
        <v>0</v>
      </c>
      <c r="DU86" s="189">
        <f t="shared" si="1150"/>
        <v>0</v>
      </c>
      <c r="DV86" s="189">
        <f t="shared" si="1151"/>
        <v>0</v>
      </c>
      <c r="DW86" s="189">
        <f t="shared" si="1152"/>
        <v>0</v>
      </c>
      <c r="DX86" s="54"/>
      <c r="DY86" s="54"/>
      <c r="DZ86" s="199">
        <f t="shared" ca="1" si="1055"/>
        <v>149085.89194404247</v>
      </c>
      <c r="EA86" s="200">
        <f t="shared" si="1153"/>
        <v>1</v>
      </c>
      <c r="EB86" s="201">
        <f t="shared" ca="1" si="1056"/>
        <v>122226.76468383893</v>
      </c>
      <c r="EC86" s="200">
        <f t="shared" si="1154"/>
        <v>1</v>
      </c>
      <c r="ED86" s="201" cm="1">
        <f t="array" ref="ED86">IF(LEFT($AG86,3)="Res",IF(OR($DN86&gt;External_Threshold,$DD86&gt;0),1*Uplift*AWE*(External),0),0)</f>
        <v>15481.186685962373</v>
      </c>
      <c r="EE86" s="200">
        <f t="shared" si="1155"/>
        <v>1</v>
      </c>
      <c r="EF86" s="201">
        <f t="shared" si="1057"/>
        <v>0</v>
      </c>
      <c r="EG86" s="203">
        <f t="shared" si="1156"/>
        <v>0</v>
      </c>
      <c r="EH86" s="199">
        <f t="shared" ca="1" si="1058"/>
        <v>108987.5542691751</v>
      </c>
      <c r="EI86" s="200">
        <f t="shared" si="1059"/>
        <v>1</v>
      </c>
      <c r="EJ86" s="201">
        <f t="shared" ca="1" si="1060"/>
        <v>74310.110846332886</v>
      </c>
      <c r="EK86" s="200">
        <f t="shared" si="1061"/>
        <v>1</v>
      </c>
      <c r="EL86" s="201" cm="1">
        <f t="array" ref="EL86">IF(LEFT($AG86,3)="Res",IF(OR($DO86&gt;External_Threshold,$DE86&gt;0),1*Uplift*AWE*(External),0),0)</f>
        <v>15481.186685962373</v>
      </c>
      <c r="EM86" s="200">
        <f t="shared" si="1062"/>
        <v>1</v>
      </c>
      <c r="EN86" s="201">
        <f t="shared" si="1063"/>
        <v>0</v>
      </c>
      <c r="EO86" s="203">
        <f t="shared" si="1157"/>
        <v>0</v>
      </c>
      <c r="EP86" s="199">
        <f t="shared" ca="1" si="1064"/>
        <v>101664.95296671492</v>
      </c>
      <c r="EQ86" s="200">
        <f t="shared" si="1065"/>
        <v>1</v>
      </c>
      <c r="ER86" s="201">
        <f t="shared" ca="1" si="1066"/>
        <v>38419.925333092608</v>
      </c>
      <c r="ES86" s="200">
        <f t="shared" si="1067"/>
        <v>1</v>
      </c>
      <c r="ET86" s="201" cm="1">
        <f t="array" ref="ET86">IF(LEFT($AG86,3)="Res",IF(OR($DP86&gt;External_Threshold,$DF86&gt;0),1*Uplift*AWE*(External),0),0)</f>
        <v>15481.186685962373</v>
      </c>
      <c r="EU86" s="200">
        <f t="shared" si="1068"/>
        <v>1</v>
      </c>
      <c r="EV86" s="201">
        <f t="shared" si="1069"/>
        <v>0</v>
      </c>
      <c r="EW86" s="203">
        <f t="shared" si="1158"/>
        <v>0</v>
      </c>
      <c r="EX86" s="199">
        <f t="shared" ca="1" si="1070"/>
        <v>3746.4471780028939</v>
      </c>
      <c r="EY86" s="200">
        <f t="shared" si="1071"/>
        <v>0</v>
      </c>
      <c r="EZ86" s="201">
        <f t="shared" ca="1" si="1072"/>
        <v>0</v>
      </c>
      <c r="FA86" s="200">
        <f t="shared" si="1073"/>
        <v>0</v>
      </c>
      <c r="FB86" s="201" cm="1">
        <f t="array" ref="FB86">IF(LEFT($AG86,3)="Res",IF(OR($DQ86&gt;External_Threshold,$DG86&gt;0),1*Uplift*AWE*(External),0),0)</f>
        <v>15481.186685962373</v>
      </c>
      <c r="FC86" s="200">
        <f t="shared" si="1074"/>
        <v>1</v>
      </c>
      <c r="FD86" s="201">
        <f t="shared" si="1075"/>
        <v>0</v>
      </c>
      <c r="FE86" s="203">
        <f t="shared" si="1159"/>
        <v>0</v>
      </c>
      <c r="FF86" s="199">
        <f t="shared" ca="1" si="1076"/>
        <v>0</v>
      </c>
      <c r="FG86" s="200">
        <f t="shared" si="1077"/>
        <v>0</v>
      </c>
      <c r="FH86" s="201">
        <f t="shared" ca="1" si="1078"/>
        <v>0</v>
      </c>
      <c r="FI86" s="200">
        <f t="shared" si="1079"/>
        <v>0</v>
      </c>
      <c r="FJ86" s="201" cm="1">
        <f t="array" ref="FJ86">IF(LEFT($AG86,3)="Res",IF(OR($DR86&gt;External_Threshold,$DH86&gt;0),1*Uplift*AWE*(External),0),0)</f>
        <v>0</v>
      </c>
      <c r="FK86" s="200">
        <f t="shared" si="1080"/>
        <v>0</v>
      </c>
      <c r="FL86" s="201">
        <f t="shared" si="1081"/>
        <v>0</v>
      </c>
      <c r="FM86" s="203">
        <f t="shared" si="1160"/>
        <v>0</v>
      </c>
      <c r="FN86" s="199">
        <f t="shared" ca="1" si="1082"/>
        <v>0</v>
      </c>
      <c r="FO86" s="200">
        <f t="shared" si="1083"/>
        <v>0</v>
      </c>
      <c r="FP86" s="201">
        <f t="shared" ca="1" si="1084"/>
        <v>0</v>
      </c>
      <c r="FQ86" s="200">
        <f t="shared" si="1085"/>
        <v>0</v>
      </c>
      <c r="FR86" s="201" cm="1">
        <f t="array" ref="FR86">IF(LEFT($AG86,3)="Res",IF(OR($DS86&gt;External_Threshold,$DI86&gt;0),1*Uplift*AWE*(External),0),0)</f>
        <v>0</v>
      </c>
      <c r="FS86" s="200">
        <f t="shared" si="1086"/>
        <v>0</v>
      </c>
      <c r="FT86" s="201">
        <f t="shared" si="1087"/>
        <v>0</v>
      </c>
      <c r="FU86" s="203">
        <f t="shared" si="1161"/>
        <v>0</v>
      </c>
      <c r="FV86" s="199">
        <f t="shared" ca="1" si="1088"/>
        <v>0</v>
      </c>
      <c r="FW86" s="200">
        <f t="shared" si="1089"/>
        <v>0</v>
      </c>
      <c r="FX86" s="201">
        <f t="shared" ca="1" si="1090"/>
        <v>0</v>
      </c>
      <c r="FY86" s="200">
        <f t="shared" si="1091"/>
        <v>0</v>
      </c>
      <c r="FZ86" s="201" cm="1">
        <f t="array" ref="FZ86">IF(LEFT($AG86,3)="Res",IF(OR($DT86&gt;External_Threshold,$DJ86&gt;0),1*Uplift*AWE*(External),0),0)</f>
        <v>0</v>
      </c>
      <c r="GA86" s="200">
        <f t="shared" si="1092"/>
        <v>0</v>
      </c>
      <c r="GB86" s="201">
        <f t="shared" si="1093"/>
        <v>0</v>
      </c>
      <c r="GC86" s="203">
        <f t="shared" si="1162"/>
        <v>0</v>
      </c>
      <c r="GD86" s="199">
        <f t="shared" ca="1" si="1094"/>
        <v>0</v>
      </c>
      <c r="GE86" s="200">
        <f t="shared" si="1095"/>
        <v>0</v>
      </c>
      <c r="GF86" s="201">
        <f t="shared" ca="1" si="1096"/>
        <v>0</v>
      </c>
      <c r="GG86" s="200">
        <f t="shared" si="1097"/>
        <v>0</v>
      </c>
      <c r="GH86" s="201" cm="1">
        <f t="array" ref="GH86">IF(LEFT($AG86,3)="Res",IF(OR($DU86&gt;External_Threshold,$DK86&gt;0),1*Uplift*AWE*(External),0),0)</f>
        <v>0</v>
      </c>
      <c r="GI86" s="200">
        <f t="shared" si="1098"/>
        <v>0</v>
      </c>
      <c r="GJ86" s="201">
        <f t="shared" si="1099"/>
        <v>0</v>
      </c>
      <c r="GK86" s="203">
        <f t="shared" si="1163"/>
        <v>0</v>
      </c>
      <c r="GL86" s="199">
        <f t="shared" ca="1" si="1100"/>
        <v>0</v>
      </c>
      <c r="GM86" s="200">
        <f t="shared" si="1101"/>
        <v>0</v>
      </c>
      <c r="GN86" s="201">
        <f t="shared" ca="1" si="1102"/>
        <v>0</v>
      </c>
      <c r="GO86" s="200">
        <f t="shared" si="1103"/>
        <v>0</v>
      </c>
      <c r="GP86" s="201" cm="1">
        <f t="array" ref="GP86">IF(LEFT($AG86,3)="Res",IF(OR($DV86&gt;External_Threshold,$DL86&gt;0),1*Uplift*AWE*(External),0),0)</f>
        <v>0</v>
      </c>
      <c r="GQ86" s="200">
        <f t="shared" si="1104"/>
        <v>0</v>
      </c>
      <c r="GR86" s="201">
        <f t="shared" si="1105"/>
        <v>0</v>
      </c>
      <c r="GS86" s="203">
        <f t="shared" si="1164"/>
        <v>0</v>
      </c>
      <c r="GT86" s="199">
        <f t="shared" ca="1" si="1106"/>
        <v>0</v>
      </c>
      <c r="GU86" s="200">
        <f t="shared" si="1107"/>
        <v>0</v>
      </c>
      <c r="GV86" s="201">
        <f t="shared" ca="1" si="1108"/>
        <v>0</v>
      </c>
      <c r="GW86" s="200">
        <f t="shared" si="1109"/>
        <v>0</v>
      </c>
      <c r="GX86" s="201" cm="1">
        <f t="array" ref="GX86">IF(LEFT($AG86,3)="Res",IF(OR($DW86&gt;External_Threshold,$DM86&gt;0),1*Uplift*AWE*(External),0),0)</f>
        <v>0</v>
      </c>
      <c r="GY86" s="200">
        <f t="shared" si="1110"/>
        <v>0</v>
      </c>
      <c r="GZ86" s="201">
        <f t="shared" si="1111"/>
        <v>0</v>
      </c>
      <c r="HA86" s="203">
        <f t="shared" si="1165"/>
        <v>0</v>
      </c>
      <c r="HB86" s="54"/>
      <c r="HC86" s="54"/>
      <c r="HD86" s="54"/>
      <c r="HE86" s="54"/>
      <c r="HF86" s="54"/>
      <c r="HG86" s="201">
        <f t="shared" ca="1" si="1166"/>
        <v>286793.84331384377</v>
      </c>
      <c r="HH86" s="201">
        <f t="shared" ca="1" si="1167"/>
        <v>198778.85180147036</v>
      </c>
      <c r="HI86" s="201">
        <f t="shared" ca="1" si="1168"/>
        <v>155566.06498576989</v>
      </c>
      <c r="HJ86" s="201">
        <f t="shared" ca="1" si="1169"/>
        <v>19227.633863965268</v>
      </c>
      <c r="HK86" s="201">
        <f t="shared" ca="1" si="1170"/>
        <v>0</v>
      </c>
      <c r="HL86" s="201">
        <f t="shared" ca="1" si="1171"/>
        <v>0</v>
      </c>
      <c r="HM86" s="201">
        <f t="shared" ca="1" si="1172"/>
        <v>0</v>
      </c>
      <c r="HN86" s="201">
        <f t="shared" ca="1" si="1173"/>
        <v>0</v>
      </c>
      <c r="HO86" s="201">
        <f t="shared" ca="1" si="1174"/>
        <v>0</v>
      </c>
      <c r="HP86" s="201">
        <f t="shared" ca="1" si="1175"/>
        <v>0</v>
      </c>
      <c r="HQ86" s="54"/>
    </row>
    <row r="87" spans="1:225" x14ac:dyDescent="0.3">
      <c r="A87" s="513">
        <v>69</v>
      </c>
      <c r="B87" s="514" t="s">
        <v>492</v>
      </c>
      <c r="C87" s="514" t="s">
        <v>390</v>
      </c>
      <c r="D87" s="514" t="s">
        <v>390</v>
      </c>
      <c r="E87" s="513">
        <v>1</v>
      </c>
      <c r="F87" s="515">
        <v>5.89</v>
      </c>
      <c r="G87" s="515">
        <v>5.44</v>
      </c>
      <c r="H87" s="513">
        <v>2</v>
      </c>
      <c r="I87" s="517">
        <v>1</v>
      </c>
      <c r="J87" s="518" t="s">
        <v>137</v>
      </c>
      <c r="K87" s="513">
        <f t="shared" si="1044"/>
        <v>160</v>
      </c>
      <c r="L87" s="519">
        <v>9.3727272727272695</v>
      </c>
      <c r="M87" s="519">
        <v>6.6199999999999992</v>
      </c>
      <c r="N87" s="519">
        <v>6.3199999999999994</v>
      </c>
      <c r="O87" s="519">
        <v>6.02</v>
      </c>
      <c r="P87" s="519">
        <v>5.47</v>
      </c>
      <c r="Q87" s="519">
        <v>5</v>
      </c>
      <c r="R87" s="519">
        <v>4.2</v>
      </c>
      <c r="S87" s="519">
        <v>0</v>
      </c>
      <c r="T87" s="519">
        <v>0</v>
      </c>
      <c r="U87" s="519">
        <v>0</v>
      </c>
      <c r="V87" s="536"/>
      <c r="W87" s="536"/>
      <c r="X87" s="536"/>
      <c r="Y87" s="536"/>
      <c r="Z87" s="536"/>
      <c r="AA87" s="536"/>
      <c r="AB87" s="536"/>
      <c r="AC87" s="536"/>
      <c r="AD87" s="536"/>
      <c r="AE87" s="536"/>
      <c r="AF87" s="54"/>
      <c r="AG87" s="204" t="str">
        <f t="shared" si="465"/>
        <v>Res1</v>
      </c>
      <c r="AH87" s="204">
        <f t="shared" si="1112"/>
        <v>7</v>
      </c>
      <c r="AI87" s="204">
        <f t="shared" si="1045"/>
        <v>1</v>
      </c>
      <c r="AJ87" s="54"/>
      <c r="AK87" s="74">
        <f>IFERROR(IF(H87&gt;4,0,AI87*Inputs!$C$55),0)</f>
        <v>2.6</v>
      </c>
      <c r="AL87" s="81">
        <f>IFERROR(Inputs!$C$73,0)</f>
        <v>5</v>
      </c>
      <c r="AM87" s="211">
        <f>IFERROR(Inputs!$C$74,0)</f>
        <v>0.24299999999999999</v>
      </c>
      <c r="AN87" s="446">
        <f>IFERROR(HLOOKUP(HLOOKUP(AN$17,$V$18:$AE87,COUNTA($AK$18:$AK87),FALSE),Inputs!$B$58:$H$59,2,FALSE),0)</f>
        <v>0</v>
      </c>
      <c r="AO87" s="447">
        <f t="shared" si="1113"/>
        <v>0</v>
      </c>
      <c r="AP87" s="447">
        <f t="shared" si="1114"/>
        <v>0</v>
      </c>
      <c r="AQ87" s="446">
        <f>IFERROR(HLOOKUP(HLOOKUP(AQ$17,$V$18:$AE87,COUNTA($AK$18:$AK87),FALSE),Inputs!$B$58:$H$59,2,FALSE),0)</f>
        <v>0</v>
      </c>
      <c r="AR87" s="447">
        <f t="shared" ref="AR87" si="1194">2*$AK87*AQ87*$AL87/100*$AM87</f>
        <v>0</v>
      </c>
      <c r="AS87" s="447">
        <f t="shared" si="1116"/>
        <v>0</v>
      </c>
      <c r="AT87" s="446">
        <f>IFERROR(HLOOKUP(HLOOKUP(AT$17,$V$18:$AE87,COUNTA($AK$18:$AK87),FALSE),Inputs!$B$58:$H$59,2,FALSE),0)</f>
        <v>0</v>
      </c>
      <c r="AU87" s="447">
        <f t="shared" ref="AU87" si="1195">2*$AK87*AT87*$AL87/100*$AM87</f>
        <v>0</v>
      </c>
      <c r="AV87" s="447">
        <f t="shared" si="1118"/>
        <v>0</v>
      </c>
      <c r="AW87" s="446">
        <f>IFERROR(HLOOKUP(HLOOKUP(AW$17,$V$18:$AE87,COUNTA($AK$18:$AK87),FALSE),Inputs!$B$58:$H$59,2,FALSE),0)</f>
        <v>0</v>
      </c>
      <c r="AX87" s="447">
        <f t="shared" ref="AX87" si="1196">2*$AK87*AW87*$AL87/100*$AM87</f>
        <v>0</v>
      </c>
      <c r="AY87" s="447">
        <f t="shared" si="1120"/>
        <v>0</v>
      </c>
      <c r="AZ87" s="446">
        <f>IFERROR(HLOOKUP(HLOOKUP(AZ$17,$V$18:$AE87,COUNTA($AK$18:$AK87),FALSE),Inputs!$B$58:$H$59,2,FALSE),0)</f>
        <v>0</v>
      </c>
      <c r="BA87" s="447">
        <f t="shared" ref="BA87" si="1197">2*$AK87*AZ87*$AL87/100*$AM87</f>
        <v>0</v>
      </c>
      <c r="BB87" s="447">
        <f t="shared" si="1122"/>
        <v>0</v>
      </c>
      <c r="BC87" s="446">
        <f>IFERROR(HLOOKUP(HLOOKUP(BC$17,$V$18:$AE87,COUNTA($AK$18:$AK87),FALSE),Inputs!$B$58:$H$59,2,FALSE),0)</f>
        <v>0</v>
      </c>
      <c r="BD87" s="447">
        <f t="shared" ref="BD87" si="1198">2*$AK87*BC87*$AL87/100*$AM87</f>
        <v>0</v>
      </c>
      <c r="BE87" s="447">
        <f t="shared" si="1124"/>
        <v>0</v>
      </c>
      <c r="BF87" s="446">
        <f>IFERROR(HLOOKUP(HLOOKUP(BF$17,$V$18:$AE87,COUNTA($AK$18:$AK87),FALSE),Inputs!$B$58:$H$59,2,FALSE),0)</f>
        <v>0</v>
      </c>
      <c r="BG87" s="447">
        <f t="shared" ref="BG87" si="1199">2*$AK87*BF87*$AL87/100*$AM87</f>
        <v>0</v>
      </c>
      <c r="BH87" s="447">
        <f t="shared" si="1126"/>
        <v>0</v>
      </c>
      <c r="BI87" s="446">
        <f>IFERROR(HLOOKUP(HLOOKUP(BI$17,$V$18:$AE87,COUNTA($AK$18:$AK87),FALSE),Inputs!$B$58:$H$59,2,FALSE),0)</f>
        <v>0</v>
      </c>
      <c r="BJ87" s="447">
        <f t="shared" ref="BJ87" si="1200">2*$AK87*BI87*$AL87/100*$AM87</f>
        <v>0</v>
      </c>
      <c r="BK87" s="447">
        <f t="shared" si="1128"/>
        <v>0</v>
      </c>
      <c r="BL87" s="446">
        <f>IFERROR(HLOOKUP(HLOOKUP(BL$17,$V$18:$AE87,COUNTA($AK$18:$AK87),FALSE),Inputs!$B$58:$H$59,2,FALSE),0)</f>
        <v>0</v>
      </c>
      <c r="BM87" s="447">
        <f t="shared" ref="BM87" si="1201">2*$AK87*BL87*$AL87/100*$AM87</f>
        <v>0</v>
      </c>
      <c r="BN87" s="447">
        <f t="shared" si="1130"/>
        <v>0</v>
      </c>
      <c r="BO87" s="446">
        <f>IFERROR(HLOOKUP(HLOOKUP(BO$17,$V$18:$AE87,COUNTA($AK$18:$AK87),FALSE),Inputs!$B$58:$H$59,2,FALSE),0)</f>
        <v>0</v>
      </c>
      <c r="BP87" s="447">
        <f t="shared" ref="BP87" si="1202">2*$AK87*BO87*$AL87/100*$AM87</f>
        <v>0</v>
      </c>
      <c r="BQ87" s="447">
        <f t="shared" si="1132"/>
        <v>0</v>
      </c>
      <c r="BR87" s="54"/>
      <c r="BS87" s="103">
        <f t="shared" ref="BS87:BS137" ca="1" si="1203">+($U$10-$T$10)*(($GT87)+($GL87))/2+($T$10-$S$10)*(($GL87)+($GD87))/2+($S$10-$R$10)*(($GD87)+($FV87))/2+($R$10-$Q$10)*(($FV87)+($FN87))/2+($Q$10-$P$10)*(($FN87)+($FF87))/2+($P$10-$O$10)*(($FF87)+($EX87))/2+($O$10-$N$10)*(($EX87)+($EP87))/2+($N$10-$M$10)*(($EP87)+($EH87))/2+($M$10-$L$10)*(($EH87)+($DZ87))/2</f>
        <v>1550.4572781586671</v>
      </c>
      <c r="BT87" s="103">
        <f t="shared" ref="BT87:BT137" ca="1" si="1204">+($U$10-$T$10)*(($GV87)+($GN87))/2+($T$10-$S$10)*(($GN87)+($GF87))/2+($S$10-$R$10)*(($GF87)+($FX87))/2+($R$10-$Q$10)*(($FX87)+($FP87))/2+($Q$10-$P$10)*(($FP87)+($FH87))/2+($P$10-$O$10)*(($FH87)+($EZ87))/2+($O$10-$N$10)*(($EZ87)+($ER87))/2+($N$10-$M$10)*(($ER87)+($EJ87))/2+($M$10-$L$10)*(($EJ87)+($EB87))/2</f>
        <v>878.1846026303856</v>
      </c>
      <c r="BU87" s="103">
        <f t="shared" ref="BU87:BU137" si="1205">+($U$10-$T$10)*(($GX87)+($GP87))/2+($T$10-$S$10)*(($GP87)+($GH87))/2+($S$10-$R$10)*(($GH87)+($FZ87))/2+($R$10-$Q$10)*(($FZ87)+($FR87))/2+($Q$10-$P$10)*(($FR87)+($FJ87))/2+($P$10-$O$10)*(($FJ87)+($FB87))/2+($O$10-$N$10)*(($FB87)+($ET87))/2+($N$10-$M$10)*(($ET87)+($EL87))/2+($M$10-$L$10)*(($EL87)+($ED87))/2</f>
        <v>232.06298842257598</v>
      </c>
      <c r="BV87" s="103">
        <f t="shared" ref="BV87:BV137" si="1206">+($U$10-$T$10)*(($GZ87)+($GR87))/2+($T$10-$S$10)*(($GR87)+($GJ87))/2+($S$10-$R$10)*(($GJ87)+($GB87))/2+($R$10-$Q$10)*(($GB87)+($FT87))/2+($Q$10-$P$10)*(($FT87)+($FL87))/2+($P$10-$O$10)*(($FL87)+($FD87))/2+($O$10-$N$10)*(($FD87)+($EV87))/2+($N$10-$M$10)*(($EV87)+($EN87))/2+($M$10-$L$10)*(($EN87)+($EF87))/2</f>
        <v>0</v>
      </c>
      <c r="BW87" s="152">
        <f t="shared" ref="BW87:BW137" ca="1" si="1207">SUM(BS87,BT87,BU87,BV87)</f>
        <v>2660.7048692116286</v>
      </c>
      <c r="BX87" s="441"/>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188">
        <f t="shared" si="1133"/>
        <v>3.4827272727272698</v>
      </c>
      <c r="DE87" s="188">
        <f t="shared" si="1134"/>
        <v>0.72999999999999954</v>
      </c>
      <c r="DF87" s="188">
        <f t="shared" si="1135"/>
        <v>0.42999999999999972</v>
      </c>
      <c r="DG87" s="188">
        <f t="shared" si="1136"/>
        <v>0.12999999999999989</v>
      </c>
      <c r="DH87" s="188">
        <f t="shared" si="1137"/>
        <v>-0.3</v>
      </c>
      <c r="DI87" s="188">
        <f t="shared" si="1138"/>
        <v>-0.3</v>
      </c>
      <c r="DJ87" s="188">
        <f t="shared" si="1139"/>
        <v>-0.3</v>
      </c>
      <c r="DK87" s="188">
        <f t="shared" si="1140"/>
        <v>-0.3</v>
      </c>
      <c r="DL87" s="188">
        <f t="shared" si="1141"/>
        <v>-0.3</v>
      </c>
      <c r="DM87" s="188">
        <f t="shared" si="1142"/>
        <v>-0.3</v>
      </c>
      <c r="DN87" s="189">
        <f t="shared" si="1143"/>
        <v>3.9327272727272691</v>
      </c>
      <c r="DO87" s="189">
        <f t="shared" si="1144"/>
        <v>1.1799999999999988</v>
      </c>
      <c r="DP87" s="189">
        <f t="shared" si="1145"/>
        <v>0.87999999999999901</v>
      </c>
      <c r="DQ87" s="189">
        <f t="shared" si="1146"/>
        <v>0.57999999999999918</v>
      </c>
      <c r="DR87" s="189">
        <f t="shared" si="1147"/>
        <v>2.9999999999999361E-2</v>
      </c>
      <c r="DS87" s="189">
        <f t="shared" si="1148"/>
        <v>0</v>
      </c>
      <c r="DT87" s="189">
        <f t="shared" si="1149"/>
        <v>0</v>
      </c>
      <c r="DU87" s="189">
        <f t="shared" si="1150"/>
        <v>0</v>
      </c>
      <c r="DV87" s="189">
        <f t="shared" si="1151"/>
        <v>0</v>
      </c>
      <c r="DW87" s="189">
        <f t="shared" si="1152"/>
        <v>0</v>
      </c>
      <c r="DX87" s="54"/>
      <c r="DY87" s="54"/>
      <c r="DZ87" s="199">
        <f t="shared" ca="1" si="1055"/>
        <v>191901.34989548157</v>
      </c>
      <c r="EA87" s="200">
        <f t="shared" si="1153"/>
        <v>1</v>
      </c>
      <c r="EB87" s="201">
        <f t="shared" ca="1" si="1056"/>
        <v>119744.47128786275</v>
      </c>
      <c r="EC87" s="200">
        <f t="shared" si="1154"/>
        <v>1</v>
      </c>
      <c r="ED87" s="201" cm="1">
        <f t="array" ref="ED87">IF(LEFT($AG87,3)="Res",IF(OR($DN87&gt;External_Threshold,$DD87&gt;0),1*Uplift*AWE*(External),0),0)</f>
        <v>15481.186685962373</v>
      </c>
      <c r="EE87" s="200">
        <f t="shared" si="1155"/>
        <v>1</v>
      </c>
      <c r="EF87" s="201">
        <f t="shared" si="1057"/>
        <v>0</v>
      </c>
      <c r="EG87" s="203">
        <f t="shared" si="1156"/>
        <v>0</v>
      </c>
      <c r="EH87" s="199">
        <f t="shared" ca="1" si="1058"/>
        <v>104588.31705258081</v>
      </c>
      <c r="EI87" s="200">
        <f t="shared" si="1059"/>
        <v>1</v>
      </c>
      <c r="EJ87" s="201">
        <f t="shared" ca="1" si="1060"/>
        <v>85735.722350325959</v>
      </c>
      <c r="EK87" s="200">
        <f t="shared" si="1061"/>
        <v>1</v>
      </c>
      <c r="EL87" s="201" cm="1">
        <f t="array" ref="EL87">IF(LEFT($AG87,3)="Res",IF(OR($DO87&gt;External_Threshold,$DE87&gt;0),1*Uplift*AWE*(External),0),0)</f>
        <v>15481.186685962373</v>
      </c>
      <c r="EM87" s="200">
        <f t="shared" si="1062"/>
        <v>1</v>
      </c>
      <c r="EN87" s="201">
        <f t="shared" si="1063"/>
        <v>0</v>
      </c>
      <c r="EO87" s="203">
        <f t="shared" si="1157"/>
        <v>0</v>
      </c>
      <c r="EP87" s="199">
        <f t="shared" ca="1" si="1064"/>
        <v>99905.258080077183</v>
      </c>
      <c r="EQ87" s="200">
        <f t="shared" si="1065"/>
        <v>1</v>
      </c>
      <c r="ER87" s="201">
        <f t="shared" ca="1" si="1066"/>
        <v>68950.934942471809</v>
      </c>
      <c r="ES87" s="200">
        <f t="shared" si="1067"/>
        <v>1</v>
      </c>
      <c r="ET87" s="201" cm="1">
        <f t="array" ref="ET87">IF(LEFT($AG87,3)="Res",IF(OR($DP87&gt;External_Threshold,$DF87&gt;0),1*Uplift*AWE*(External),0),0)</f>
        <v>15481.186685962373</v>
      </c>
      <c r="EU87" s="200">
        <f t="shared" si="1068"/>
        <v>1</v>
      </c>
      <c r="EV87" s="201">
        <f t="shared" si="1069"/>
        <v>0</v>
      </c>
      <c r="EW87" s="203">
        <f t="shared" si="1158"/>
        <v>0</v>
      </c>
      <c r="EX87" s="199">
        <f t="shared" ca="1" si="1070"/>
        <v>93192.873552822013</v>
      </c>
      <c r="EY87" s="200">
        <f t="shared" si="1071"/>
        <v>1</v>
      </c>
      <c r="EZ87" s="201">
        <f t="shared" ca="1" si="1072"/>
        <v>35909.931555334886</v>
      </c>
      <c r="FA87" s="200">
        <f t="shared" si="1073"/>
        <v>1</v>
      </c>
      <c r="FB87" s="201" cm="1">
        <f t="array" ref="FB87">IF(LEFT($AG87,3)="Res",IF(OR($DQ87&gt;External_Threshold,$DG87&gt;0),1*Uplift*AWE*(External),0),0)</f>
        <v>15481.186685962373</v>
      </c>
      <c r="FC87" s="200">
        <f t="shared" si="1074"/>
        <v>1</v>
      </c>
      <c r="FD87" s="201">
        <f t="shared" si="1075"/>
        <v>0</v>
      </c>
      <c r="FE87" s="203">
        <f t="shared" si="1159"/>
        <v>0</v>
      </c>
      <c r="FF87" s="199">
        <f t="shared" ca="1" si="1076"/>
        <v>0</v>
      </c>
      <c r="FG87" s="200">
        <f t="shared" si="1077"/>
        <v>0</v>
      </c>
      <c r="FH87" s="201">
        <f t="shared" ca="1" si="1078"/>
        <v>0</v>
      </c>
      <c r="FI87" s="200">
        <f t="shared" si="1079"/>
        <v>0</v>
      </c>
      <c r="FJ87" s="201" cm="1">
        <f t="array" ref="FJ87">IF(LEFT($AG87,3)="Res",IF(OR($DR87&gt;External_Threshold,$DH87&gt;0),1*Uplift*AWE*(External),0),0)</f>
        <v>0</v>
      </c>
      <c r="FK87" s="200">
        <f t="shared" si="1080"/>
        <v>1</v>
      </c>
      <c r="FL87" s="201">
        <f t="shared" si="1081"/>
        <v>0</v>
      </c>
      <c r="FM87" s="203">
        <f t="shared" si="1160"/>
        <v>0</v>
      </c>
      <c r="FN87" s="199">
        <f t="shared" ca="1" si="1082"/>
        <v>0</v>
      </c>
      <c r="FO87" s="200">
        <f t="shared" si="1083"/>
        <v>0</v>
      </c>
      <c r="FP87" s="201">
        <f t="shared" ca="1" si="1084"/>
        <v>0</v>
      </c>
      <c r="FQ87" s="200">
        <f t="shared" si="1085"/>
        <v>0</v>
      </c>
      <c r="FR87" s="201" cm="1">
        <f t="array" ref="FR87">IF(LEFT($AG87,3)="Res",IF(OR($DS87&gt;External_Threshold,$DI87&gt;0),1*Uplift*AWE*(External),0),0)</f>
        <v>0</v>
      </c>
      <c r="FS87" s="200">
        <f t="shared" si="1086"/>
        <v>0</v>
      </c>
      <c r="FT87" s="201">
        <f t="shared" si="1087"/>
        <v>0</v>
      </c>
      <c r="FU87" s="203">
        <f t="shared" si="1161"/>
        <v>0</v>
      </c>
      <c r="FV87" s="199">
        <f t="shared" ca="1" si="1088"/>
        <v>0</v>
      </c>
      <c r="FW87" s="200">
        <f t="shared" si="1089"/>
        <v>0</v>
      </c>
      <c r="FX87" s="201">
        <f t="shared" ca="1" si="1090"/>
        <v>0</v>
      </c>
      <c r="FY87" s="200">
        <f t="shared" si="1091"/>
        <v>0</v>
      </c>
      <c r="FZ87" s="201" cm="1">
        <f t="array" ref="FZ87">IF(LEFT($AG87,3)="Res",IF(OR($DT87&gt;External_Threshold,$DJ87&gt;0),1*Uplift*AWE*(External),0),0)</f>
        <v>0</v>
      </c>
      <c r="GA87" s="200">
        <f t="shared" si="1092"/>
        <v>0</v>
      </c>
      <c r="GB87" s="201">
        <f t="shared" si="1093"/>
        <v>0</v>
      </c>
      <c r="GC87" s="203">
        <f t="shared" si="1162"/>
        <v>0</v>
      </c>
      <c r="GD87" s="199">
        <f t="shared" ca="1" si="1094"/>
        <v>0</v>
      </c>
      <c r="GE87" s="200">
        <f t="shared" si="1095"/>
        <v>0</v>
      </c>
      <c r="GF87" s="201">
        <f t="shared" ca="1" si="1096"/>
        <v>0</v>
      </c>
      <c r="GG87" s="200">
        <f t="shared" si="1097"/>
        <v>0</v>
      </c>
      <c r="GH87" s="201" cm="1">
        <f t="array" ref="GH87">IF(LEFT($AG87,3)="Res",IF(OR($DU87&gt;External_Threshold,$DK87&gt;0),1*Uplift*AWE*(External),0),0)</f>
        <v>0</v>
      </c>
      <c r="GI87" s="200">
        <f t="shared" si="1098"/>
        <v>0</v>
      </c>
      <c r="GJ87" s="201">
        <f t="shared" si="1099"/>
        <v>0</v>
      </c>
      <c r="GK87" s="203">
        <f t="shared" si="1163"/>
        <v>0</v>
      </c>
      <c r="GL87" s="199">
        <f t="shared" ca="1" si="1100"/>
        <v>0</v>
      </c>
      <c r="GM87" s="200">
        <f t="shared" si="1101"/>
        <v>0</v>
      </c>
      <c r="GN87" s="201">
        <f t="shared" ca="1" si="1102"/>
        <v>0</v>
      </c>
      <c r="GO87" s="200">
        <f t="shared" si="1103"/>
        <v>0</v>
      </c>
      <c r="GP87" s="201" cm="1">
        <f t="array" ref="GP87">IF(LEFT($AG87,3)="Res",IF(OR($DV87&gt;External_Threshold,$DL87&gt;0),1*Uplift*AWE*(External),0),0)</f>
        <v>0</v>
      </c>
      <c r="GQ87" s="200">
        <f t="shared" si="1104"/>
        <v>0</v>
      </c>
      <c r="GR87" s="201">
        <f t="shared" si="1105"/>
        <v>0</v>
      </c>
      <c r="GS87" s="203">
        <f t="shared" si="1164"/>
        <v>0</v>
      </c>
      <c r="GT87" s="199">
        <f t="shared" ca="1" si="1106"/>
        <v>0</v>
      </c>
      <c r="GU87" s="200">
        <f t="shared" si="1107"/>
        <v>0</v>
      </c>
      <c r="GV87" s="201">
        <f t="shared" ca="1" si="1108"/>
        <v>0</v>
      </c>
      <c r="GW87" s="200">
        <f t="shared" si="1109"/>
        <v>0</v>
      </c>
      <c r="GX87" s="201" cm="1">
        <f t="array" ref="GX87">IF(LEFT($AG87,3)="Res",IF(OR($DW87&gt;External_Threshold,$DM87&gt;0),1*Uplift*AWE*(External),0),0)</f>
        <v>0</v>
      </c>
      <c r="GY87" s="200">
        <f t="shared" si="1110"/>
        <v>0</v>
      </c>
      <c r="GZ87" s="201">
        <f t="shared" si="1111"/>
        <v>0</v>
      </c>
      <c r="HA87" s="203">
        <f t="shared" si="1165"/>
        <v>0</v>
      </c>
      <c r="HB87" s="54"/>
      <c r="HC87" s="54"/>
      <c r="HD87" s="54"/>
      <c r="HE87" s="54"/>
      <c r="HF87" s="54"/>
      <c r="HG87" s="201">
        <f t="shared" ca="1" si="1166"/>
        <v>327127.00786930672</v>
      </c>
      <c r="HH87" s="201">
        <f t="shared" ca="1" si="1167"/>
        <v>205805.22608886915</v>
      </c>
      <c r="HI87" s="201">
        <f t="shared" ca="1" si="1168"/>
        <v>184337.37970851135</v>
      </c>
      <c r="HJ87" s="201">
        <f t="shared" ca="1" si="1169"/>
        <v>144583.99179411927</v>
      </c>
      <c r="HK87" s="201">
        <f t="shared" ca="1" si="1170"/>
        <v>0</v>
      </c>
      <c r="HL87" s="201">
        <f t="shared" ca="1" si="1171"/>
        <v>0</v>
      </c>
      <c r="HM87" s="201">
        <f t="shared" ca="1" si="1172"/>
        <v>0</v>
      </c>
      <c r="HN87" s="201">
        <f t="shared" ca="1" si="1173"/>
        <v>0</v>
      </c>
      <c r="HO87" s="201">
        <f t="shared" ca="1" si="1174"/>
        <v>0</v>
      </c>
      <c r="HP87" s="201">
        <f t="shared" ca="1" si="1175"/>
        <v>0</v>
      </c>
      <c r="HQ87" s="54"/>
    </row>
    <row r="88" spans="1:225" x14ac:dyDescent="0.3">
      <c r="A88" s="513">
        <v>70</v>
      </c>
      <c r="B88" s="514" t="s">
        <v>493</v>
      </c>
      <c r="C88" s="514" t="s">
        <v>390</v>
      </c>
      <c r="D88" s="514" t="s">
        <v>390</v>
      </c>
      <c r="E88" s="513">
        <v>2</v>
      </c>
      <c r="F88" s="515">
        <v>4.76</v>
      </c>
      <c r="G88" s="515">
        <v>4.1399999999999997</v>
      </c>
      <c r="H88" s="513">
        <v>1</v>
      </c>
      <c r="I88" s="517">
        <v>6</v>
      </c>
      <c r="J88" s="518" t="s">
        <v>256</v>
      </c>
      <c r="K88" s="513">
        <f t="shared" si="1044"/>
        <v>100</v>
      </c>
      <c r="L88" s="519">
        <v>9.5333333333333066</v>
      </c>
      <c r="M88" s="519">
        <v>6.51</v>
      </c>
      <c r="N88" s="519">
        <v>6.21</v>
      </c>
      <c r="O88" s="519">
        <v>5.91</v>
      </c>
      <c r="P88" s="519">
        <v>5.46</v>
      </c>
      <c r="Q88" s="519">
        <v>5</v>
      </c>
      <c r="R88" s="519">
        <v>4.2</v>
      </c>
      <c r="S88" s="519">
        <v>0</v>
      </c>
      <c r="T88" s="519">
        <v>0</v>
      </c>
      <c r="U88" s="519">
        <v>0</v>
      </c>
      <c r="V88" s="536"/>
      <c r="W88" s="536"/>
      <c r="X88" s="536"/>
      <c r="Y88" s="536"/>
      <c r="Z88" s="536"/>
      <c r="AA88" s="536"/>
      <c r="AB88" s="536"/>
      <c r="AC88" s="536"/>
      <c r="AD88" s="536"/>
      <c r="AE88" s="536"/>
      <c r="AF88" s="54"/>
      <c r="AG88" s="204" t="str">
        <f t="shared" si="465"/>
        <v>Res2</v>
      </c>
      <c r="AH88" s="204">
        <f t="shared" si="1112"/>
        <v>7</v>
      </c>
      <c r="AI88" s="204">
        <f t="shared" si="1045"/>
        <v>1</v>
      </c>
      <c r="AJ88" s="54"/>
      <c r="AK88" s="74">
        <f>IFERROR(IF(H88&gt;4,0,AI88*Inputs!$C$55),0)</f>
        <v>2.6</v>
      </c>
      <c r="AL88" s="81">
        <f>IFERROR(Inputs!$C$73,0)</f>
        <v>5</v>
      </c>
      <c r="AM88" s="211">
        <f>IFERROR(Inputs!$C$74,0)</f>
        <v>0.24299999999999999</v>
      </c>
      <c r="AN88" s="446">
        <f>IFERROR(HLOOKUP(HLOOKUP(AN$17,$V$18:$AE88,COUNTA($AK$18:$AK88),FALSE),Inputs!$B$58:$H$59,2,FALSE),0)</f>
        <v>0</v>
      </c>
      <c r="AO88" s="447">
        <f t="shared" si="1113"/>
        <v>0</v>
      </c>
      <c r="AP88" s="447">
        <f t="shared" si="1114"/>
        <v>0</v>
      </c>
      <c r="AQ88" s="446">
        <f>IFERROR(HLOOKUP(HLOOKUP(AQ$17,$V$18:$AE88,COUNTA($AK$18:$AK88),FALSE),Inputs!$B$58:$H$59,2,FALSE),0)</f>
        <v>0</v>
      </c>
      <c r="AR88" s="447">
        <f t="shared" ref="AR88" si="1208">2*$AK88*AQ88*$AL88/100*$AM88</f>
        <v>0</v>
      </c>
      <c r="AS88" s="447">
        <f t="shared" si="1116"/>
        <v>0</v>
      </c>
      <c r="AT88" s="446">
        <f>IFERROR(HLOOKUP(HLOOKUP(AT$17,$V$18:$AE88,COUNTA($AK$18:$AK88),FALSE),Inputs!$B$58:$H$59,2,FALSE),0)</f>
        <v>0</v>
      </c>
      <c r="AU88" s="447">
        <f t="shared" ref="AU88" si="1209">2*$AK88*AT88*$AL88/100*$AM88</f>
        <v>0</v>
      </c>
      <c r="AV88" s="447">
        <f t="shared" si="1118"/>
        <v>0</v>
      </c>
      <c r="AW88" s="446">
        <f>IFERROR(HLOOKUP(HLOOKUP(AW$17,$V$18:$AE88,COUNTA($AK$18:$AK88),FALSE),Inputs!$B$58:$H$59,2,FALSE),0)</f>
        <v>0</v>
      </c>
      <c r="AX88" s="447">
        <f t="shared" ref="AX88" si="1210">2*$AK88*AW88*$AL88/100*$AM88</f>
        <v>0</v>
      </c>
      <c r="AY88" s="447">
        <f t="shared" si="1120"/>
        <v>0</v>
      </c>
      <c r="AZ88" s="446">
        <f>IFERROR(HLOOKUP(HLOOKUP(AZ$17,$V$18:$AE88,COUNTA($AK$18:$AK88),FALSE),Inputs!$B$58:$H$59,2,FALSE),0)</f>
        <v>0</v>
      </c>
      <c r="BA88" s="447">
        <f t="shared" ref="BA88" si="1211">2*$AK88*AZ88*$AL88/100*$AM88</f>
        <v>0</v>
      </c>
      <c r="BB88" s="447">
        <f t="shared" si="1122"/>
        <v>0</v>
      </c>
      <c r="BC88" s="446">
        <f>IFERROR(HLOOKUP(HLOOKUP(BC$17,$V$18:$AE88,COUNTA($AK$18:$AK88),FALSE),Inputs!$B$58:$H$59,2,FALSE),0)</f>
        <v>0</v>
      </c>
      <c r="BD88" s="447">
        <f t="shared" ref="BD88" si="1212">2*$AK88*BC88*$AL88/100*$AM88</f>
        <v>0</v>
      </c>
      <c r="BE88" s="447">
        <f t="shared" si="1124"/>
        <v>0</v>
      </c>
      <c r="BF88" s="446">
        <f>IFERROR(HLOOKUP(HLOOKUP(BF$17,$V$18:$AE88,COUNTA($AK$18:$AK88),FALSE),Inputs!$B$58:$H$59,2,FALSE),0)</f>
        <v>0</v>
      </c>
      <c r="BG88" s="447">
        <f t="shared" ref="BG88" si="1213">2*$AK88*BF88*$AL88/100*$AM88</f>
        <v>0</v>
      </c>
      <c r="BH88" s="447">
        <f t="shared" si="1126"/>
        <v>0</v>
      </c>
      <c r="BI88" s="446">
        <f>IFERROR(HLOOKUP(HLOOKUP(BI$17,$V$18:$AE88,COUNTA($AK$18:$AK88),FALSE),Inputs!$B$58:$H$59,2,FALSE),0)</f>
        <v>0</v>
      </c>
      <c r="BJ88" s="447">
        <f t="shared" ref="BJ88" si="1214">2*$AK88*BI88*$AL88/100*$AM88</f>
        <v>0</v>
      </c>
      <c r="BK88" s="447">
        <f t="shared" si="1128"/>
        <v>0</v>
      </c>
      <c r="BL88" s="446">
        <f>IFERROR(HLOOKUP(HLOOKUP(BL$17,$V$18:$AE88,COUNTA($AK$18:$AK88),FALSE),Inputs!$B$58:$H$59,2,FALSE),0)</f>
        <v>0</v>
      </c>
      <c r="BM88" s="447">
        <f t="shared" ref="BM88" si="1215">2*$AK88*BL88*$AL88/100*$AM88</f>
        <v>0</v>
      </c>
      <c r="BN88" s="447">
        <f t="shared" si="1130"/>
        <v>0</v>
      </c>
      <c r="BO88" s="446">
        <f>IFERROR(HLOOKUP(HLOOKUP(BO$17,$V$18:$AE88,COUNTA($AK$18:$AK88),FALSE),Inputs!$B$58:$H$59,2,FALSE),0)</f>
        <v>0</v>
      </c>
      <c r="BP88" s="447">
        <f t="shared" ref="BP88" si="1216">2*$AK88*BO88*$AL88/100*$AM88</f>
        <v>0</v>
      </c>
      <c r="BQ88" s="447">
        <f t="shared" si="1132"/>
        <v>0</v>
      </c>
      <c r="BR88" s="54"/>
      <c r="BS88" s="103">
        <f t="shared" ca="1" si="1203"/>
        <v>4462.3212707130378</v>
      </c>
      <c r="BT88" s="103">
        <f t="shared" ca="1" si="1204"/>
        <v>2941.1340302966437</v>
      </c>
      <c r="BU88" s="103">
        <f t="shared" si="1205"/>
        <v>1160.9341895803186</v>
      </c>
      <c r="BV88" s="103">
        <f t="shared" si="1206"/>
        <v>0</v>
      </c>
      <c r="BW88" s="152">
        <f t="shared" ca="1" si="1207"/>
        <v>8564.3894905899997</v>
      </c>
      <c r="BX88" s="441"/>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188">
        <f t="shared" si="1133"/>
        <v>4.7733333333333068</v>
      </c>
      <c r="DE88" s="188">
        <f t="shared" si="1134"/>
        <v>1.75</v>
      </c>
      <c r="DF88" s="188">
        <f t="shared" si="1135"/>
        <v>1.4500000000000002</v>
      </c>
      <c r="DG88" s="188">
        <f t="shared" si="1136"/>
        <v>1.1500000000000004</v>
      </c>
      <c r="DH88" s="188">
        <f t="shared" si="1137"/>
        <v>0.70000000000000018</v>
      </c>
      <c r="DI88" s="188">
        <f t="shared" si="1138"/>
        <v>0.24000000000000021</v>
      </c>
      <c r="DJ88" s="188">
        <f t="shared" si="1139"/>
        <v>-0.3</v>
      </c>
      <c r="DK88" s="188">
        <f t="shared" si="1140"/>
        <v>-0.3</v>
      </c>
      <c r="DL88" s="188">
        <f t="shared" si="1141"/>
        <v>-0.3</v>
      </c>
      <c r="DM88" s="188">
        <f t="shared" si="1142"/>
        <v>-0.3</v>
      </c>
      <c r="DN88" s="189">
        <f t="shared" si="1143"/>
        <v>5.3933333333333069</v>
      </c>
      <c r="DO88" s="189">
        <f t="shared" si="1144"/>
        <v>2.37</v>
      </c>
      <c r="DP88" s="189">
        <f t="shared" si="1145"/>
        <v>2.0700000000000003</v>
      </c>
      <c r="DQ88" s="189">
        <f t="shared" si="1146"/>
        <v>1.7700000000000005</v>
      </c>
      <c r="DR88" s="189">
        <f t="shared" si="1147"/>
        <v>1.3200000000000003</v>
      </c>
      <c r="DS88" s="189">
        <f t="shared" si="1148"/>
        <v>0.86000000000000032</v>
      </c>
      <c r="DT88" s="189">
        <f t="shared" si="1149"/>
        <v>6.0000000000000497E-2</v>
      </c>
      <c r="DU88" s="189">
        <f t="shared" si="1150"/>
        <v>0</v>
      </c>
      <c r="DV88" s="189">
        <f t="shared" si="1151"/>
        <v>0</v>
      </c>
      <c r="DW88" s="189">
        <f t="shared" si="1152"/>
        <v>0</v>
      </c>
      <c r="DX88" s="54"/>
      <c r="DY88" s="54"/>
      <c r="DZ88" s="199">
        <f t="shared" ca="1" si="1055"/>
        <v>209051.75253256143</v>
      </c>
      <c r="EA88" s="200">
        <f t="shared" si="1153"/>
        <v>1</v>
      </c>
      <c r="EB88" s="201">
        <f t="shared" ca="1" si="1056"/>
        <v>117010.49056596162</v>
      </c>
      <c r="EC88" s="200">
        <f t="shared" si="1154"/>
        <v>1</v>
      </c>
      <c r="ED88" s="201" cm="1">
        <f t="array" ref="ED88">IF(LEFT($AG88,3)="Res",IF(OR($DN88&gt;External_Threshold,$DD88&gt;0),1*Uplift*AWE*(External),0),0)</f>
        <v>15481.186685962373</v>
      </c>
      <c r="EE88" s="200">
        <f t="shared" si="1155"/>
        <v>1</v>
      </c>
      <c r="EF88" s="201">
        <f t="shared" si="1057"/>
        <v>0</v>
      </c>
      <c r="EG88" s="203">
        <f t="shared" si="1156"/>
        <v>0</v>
      </c>
      <c r="EH88" s="199">
        <f t="shared" ca="1" si="1058"/>
        <v>76125.725297475496</v>
      </c>
      <c r="EI88" s="200">
        <f t="shared" si="1059"/>
        <v>1</v>
      </c>
      <c r="EJ88" s="201">
        <f t="shared" ca="1" si="1060"/>
        <v>59050.099261657655</v>
      </c>
      <c r="EK88" s="200">
        <f t="shared" si="1061"/>
        <v>1</v>
      </c>
      <c r="EL88" s="201" cm="1">
        <f t="array" ref="EL88">IF(LEFT($AG88,3)="Res",IF(OR($DO88&gt;External_Threshold,$DE88&gt;0),1*Uplift*AWE*(External),0),0)</f>
        <v>15481.186685962373</v>
      </c>
      <c r="EM88" s="200">
        <f t="shared" si="1062"/>
        <v>1</v>
      </c>
      <c r="EN88" s="201">
        <f t="shared" si="1063"/>
        <v>0</v>
      </c>
      <c r="EO88" s="203">
        <f t="shared" si="1157"/>
        <v>0</v>
      </c>
      <c r="EP88" s="199">
        <f t="shared" ca="1" si="1064"/>
        <v>73080.696285576472</v>
      </c>
      <c r="EQ88" s="200">
        <f t="shared" si="1065"/>
        <v>1</v>
      </c>
      <c r="ER88" s="201">
        <f t="shared" ca="1" si="1066"/>
        <v>57737.788515145105</v>
      </c>
      <c r="ES88" s="200">
        <f t="shared" si="1067"/>
        <v>1</v>
      </c>
      <c r="ET88" s="201" cm="1">
        <f t="array" ref="ET88">IF(LEFT($AG88,3)="Res",IF(OR($DP88&gt;External_Threshold,$DF88&gt;0),1*Uplift*AWE*(External),0),0)</f>
        <v>15481.186685962373</v>
      </c>
      <c r="EU88" s="200">
        <f t="shared" si="1068"/>
        <v>1</v>
      </c>
      <c r="EV88" s="201">
        <f t="shared" si="1069"/>
        <v>0</v>
      </c>
      <c r="EW88" s="203">
        <f t="shared" si="1158"/>
        <v>0</v>
      </c>
      <c r="EX88" s="199">
        <f t="shared" ca="1" si="1070"/>
        <v>64426.40330438978</v>
      </c>
      <c r="EY88" s="200">
        <f t="shared" si="1071"/>
        <v>1</v>
      </c>
      <c r="EZ88" s="201">
        <f t="shared" ca="1" si="1072"/>
        <v>56425.477768632554</v>
      </c>
      <c r="FA88" s="200">
        <f t="shared" si="1073"/>
        <v>1</v>
      </c>
      <c r="FB88" s="201" cm="1">
        <f t="array" ref="FB88">IF(LEFT($AG88,3)="Res",IF(OR($DQ88&gt;External_Threshold,$DG88&gt;0),1*Uplift*AWE*(External),0),0)</f>
        <v>15481.186685962373</v>
      </c>
      <c r="FC88" s="200">
        <f t="shared" si="1074"/>
        <v>1</v>
      </c>
      <c r="FD88" s="201">
        <f t="shared" si="1075"/>
        <v>0</v>
      </c>
      <c r="FE88" s="203">
        <f t="shared" si="1159"/>
        <v>0</v>
      </c>
      <c r="FF88" s="199">
        <f t="shared" ca="1" si="1076"/>
        <v>57008.437891944057</v>
      </c>
      <c r="FG88" s="200">
        <f t="shared" si="1077"/>
        <v>1</v>
      </c>
      <c r="FH88" s="201">
        <f t="shared" ca="1" si="1078"/>
        <v>44392.495464641266</v>
      </c>
      <c r="FI88" s="200">
        <f t="shared" si="1079"/>
        <v>1</v>
      </c>
      <c r="FJ88" s="201" cm="1">
        <f t="array" ref="FJ88">IF(LEFT($AG88,3)="Res",IF(OR($DR88&gt;External_Threshold,$DH88&gt;0),1*Uplift*AWE*(External),0),0)</f>
        <v>15481.186685962373</v>
      </c>
      <c r="FK88" s="200">
        <f t="shared" si="1080"/>
        <v>1</v>
      </c>
      <c r="FL88" s="201">
        <f t="shared" si="1081"/>
        <v>0</v>
      </c>
      <c r="FM88" s="203">
        <f t="shared" si="1160"/>
        <v>0</v>
      </c>
      <c r="FN88" s="199">
        <f t="shared" ca="1" si="1082"/>
        <v>53717.288114045674</v>
      </c>
      <c r="FO88" s="200">
        <f t="shared" si="1083"/>
        <v>1</v>
      </c>
      <c r="FP88" s="201">
        <f t="shared" ca="1" si="1084"/>
        <v>28384.661197688143</v>
      </c>
      <c r="FQ88" s="200">
        <f t="shared" si="1085"/>
        <v>1</v>
      </c>
      <c r="FR88" s="201" cm="1">
        <f t="array" ref="FR88">IF(LEFT($AG88,3)="Res",IF(OR($DS88&gt;External_Threshold,$DI88&gt;0),1*Uplift*AWE*(External),0),0)</f>
        <v>15481.186685962373</v>
      </c>
      <c r="FS88" s="200">
        <f t="shared" si="1086"/>
        <v>1</v>
      </c>
      <c r="FT88" s="201">
        <f t="shared" si="1087"/>
        <v>0</v>
      </c>
      <c r="FU88" s="203">
        <f t="shared" si="1161"/>
        <v>0</v>
      </c>
      <c r="FV88" s="199">
        <f t="shared" ca="1" si="1088"/>
        <v>0</v>
      </c>
      <c r="FW88" s="200">
        <f t="shared" si="1089"/>
        <v>0</v>
      </c>
      <c r="FX88" s="201">
        <f t="shared" ca="1" si="1090"/>
        <v>0</v>
      </c>
      <c r="FY88" s="200">
        <f t="shared" si="1091"/>
        <v>0</v>
      </c>
      <c r="FZ88" s="201" cm="1">
        <f t="array" ref="FZ88">IF(LEFT($AG88,3)="Res",IF(OR($DT88&gt;External_Threshold,$DJ88&gt;0),1*Uplift*AWE*(External),0),0)</f>
        <v>0</v>
      </c>
      <c r="GA88" s="200">
        <f t="shared" si="1092"/>
        <v>1</v>
      </c>
      <c r="GB88" s="201">
        <f t="shared" si="1093"/>
        <v>0</v>
      </c>
      <c r="GC88" s="203">
        <f t="shared" si="1162"/>
        <v>0</v>
      </c>
      <c r="GD88" s="199">
        <f t="shared" ca="1" si="1094"/>
        <v>0</v>
      </c>
      <c r="GE88" s="200">
        <f t="shared" si="1095"/>
        <v>0</v>
      </c>
      <c r="GF88" s="201">
        <f t="shared" ca="1" si="1096"/>
        <v>0</v>
      </c>
      <c r="GG88" s="200">
        <f t="shared" si="1097"/>
        <v>0</v>
      </c>
      <c r="GH88" s="201" cm="1">
        <f t="array" ref="GH88">IF(LEFT($AG88,3)="Res",IF(OR($DU88&gt;External_Threshold,$DK88&gt;0),1*Uplift*AWE*(External),0),0)</f>
        <v>0</v>
      </c>
      <c r="GI88" s="200">
        <f t="shared" si="1098"/>
        <v>0</v>
      </c>
      <c r="GJ88" s="201">
        <f t="shared" si="1099"/>
        <v>0</v>
      </c>
      <c r="GK88" s="203">
        <f t="shared" si="1163"/>
        <v>0</v>
      </c>
      <c r="GL88" s="199">
        <f t="shared" ca="1" si="1100"/>
        <v>0</v>
      </c>
      <c r="GM88" s="200">
        <f t="shared" si="1101"/>
        <v>0</v>
      </c>
      <c r="GN88" s="201">
        <f t="shared" ca="1" si="1102"/>
        <v>0</v>
      </c>
      <c r="GO88" s="200">
        <f t="shared" si="1103"/>
        <v>0</v>
      </c>
      <c r="GP88" s="201" cm="1">
        <f t="array" ref="GP88">IF(LEFT($AG88,3)="Res",IF(OR($DV88&gt;External_Threshold,$DL88&gt;0),1*Uplift*AWE*(External),0),0)</f>
        <v>0</v>
      </c>
      <c r="GQ88" s="200">
        <f t="shared" si="1104"/>
        <v>0</v>
      </c>
      <c r="GR88" s="201">
        <f t="shared" si="1105"/>
        <v>0</v>
      </c>
      <c r="GS88" s="203">
        <f t="shared" si="1164"/>
        <v>0</v>
      </c>
      <c r="GT88" s="199">
        <f t="shared" ca="1" si="1106"/>
        <v>0</v>
      </c>
      <c r="GU88" s="200">
        <f t="shared" si="1107"/>
        <v>0</v>
      </c>
      <c r="GV88" s="201">
        <f t="shared" ca="1" si="1108"/>
        <v>0</v>
      </c>
      <c r="GW88" s="200">
        <f t="shared" si="1109"/>
        <v>0</v>
      </c>
      <c r="GX88" s="201" cm="1">
        <f t="array" ref="GX88">IF(LEFT($AG88,3)="Res",IF(OR($DW88&gt;External_Threshold,$DM88&gt;0),1*Uplift*AWE*(External),0),0)</f>
        <v>0</v>
      </c>
      <c r="GY88" s="200">
        <f t="shared" si="1110"/>
        <v>0</v>
      </c>
      <c r="GZ88" s="201">
        <f t="shared" si="1111"/>
        <v>0</v>
      </c>
      <c r="HA88" s="203">
        <f t="shared" si="1165"/>
        <v>0</v>
      </c>
      <c r="HB88" s="54"/>
      <c r="HC88" s="54"/>
      <c r="HD88" s="54"/>
      <c r="HE88" s="54"/>
      <c r="HF88" s="54"/>
      <c r="HG88" s="201">
        <f t="shared" ca="1" si="1166"/>
        <v>341543.42978448543</v>
      </c>
      <c r="HH88" s="201">
        <f t="shared" ca="1" si="1167"/>
        <v>150657.01124509552</v>
      </c>
      <c r="HI88" s="201">
        <f t="shared" ca="1" si="1168"/>
        <v>146299.67148668395</v>
      </c>
      <c r="HJ88" s="201">
        <f t="shared" ca="1" si="1169"/>
        <v>136333.06775898472</v>
      </c>
      <c r="HK88" s="201">
        <f t="shared" ca="1" si="1170"/>
        <v>116882.1200425477</v>
      </c>
      <c r="HL88" s="201">
        <f t="shared" ca="1" si="1171"/>
        <v>97583.135997696183</v>
      </c>
      <c r="HM88" s="201">
        <f t="shared" ca="1" si="1172"/>
        <v>0</v>
      </c>
      <c r="HN88" s="201">
        <f t="shared" ca="1" si="1173"/>
        <v>0</v>
      </c>
      <c r="HO88" s="201">
        <f t="shared" ca="1" si="1174"/>
        <v>0</v>
      </c>
      <c r="HP88" s="201">
        <f t="shared" ca="1" si="1175"/>
        <v>0</v>
      </c>
      <c r="HQ88" s="54"/>
    </row>
    <row r="89" spans="1:225" x14ac:dyDescent="0.3">
      <c r="A89" s="513">
        <v>71</v>
      </c>
      <c r="B89" s="514" t="s">
        <v>494</v>
      </c>
      <c r="C89" s="514" t="s">
        <v>390</v>
      </c>
      <c r="D89" s="514" t="s">
        <v>390</v>
      </c>
      <c r="E89" s="513">
        <v>2</v>
      </c>
      <c r="F89" s="515">
        <v>5.86</v>
      </c>
      <c r="G89" s="515">
        <v>5.42</v>
      </c>
      <c r="H89" s="513">
        <v>1</v>
      </c>
      <c r="I89" s="517">
        <v>5</v>
      </c>
      <c r="J89" s="518" t="s">
        <v>256</v>
      </c>
      <c r="K89" s="513">
        <f t="shared" si="1044"/>
        <v>100</v>
      </c>
      <c r="L89" s="519">
        <v>9.3727272727272695</v>
      </c>
      <c r="M89" s="519">
        <v>6.6199999999999992</v>
      </c>
      <c r="N89" s="519">
        <v>6.3199999999999994</v>
      </c>
      <c r="O89" s="519">
        <v>6.02</v>
      </c>
      <c r="P89" s="519">
        <v>5.47</v>
      </c>
      <c r="Q89" s="519">
        <v>5</v>
      </c>
      <c r="R89" s="519">
        <v>4.2</v>
      </c>
      <c r="S89" s="519">
        <v>0</v>
      </c>
      <c r="T89" s="519">
        <v>0</v>
      </c>
      <c r="U89" s="519">
        <v>0</v>
      </c>
      <c r="V89" s="536"/>
      <c r="W89" s="536"/>
      <c r="X89" s="536"/>
      <c r="Y89" s="536"/>
      <c r="Z89" s="536"/>
      <c r="AA89" s="536"/>
      <c r="AB89" s="536"/>
      <c r="AC89" s="536"/>
      <c r="AD89" s="536"/>
      <c r="AE89" s="536"/>
      <c r="AF89" s="54"/>
      <c r="AG89" s="204" t="str">
        <f t="shared" si="465"/>
        <v>Res2</v>
      </c>
      <c r="AH89" s="204">
        <f t="shared" si="1112"/>
        <v>7</v>
      </c>
      <c r="AI89" s="204">
        <f t="shared" si="1045"/>
        <v>1</v>
      </c>
      <c r="AJ89" s="54"/>
      <c r="AK89" s="74">
        <f>IFERROR(IF(H89&gt;4,0,AI89*Inputs!$C$55),0)</f>
        <v>2.6</v>
      </c>
      <c r="AL89" s="81">
        <f>IFERROR(Inputs!$C$73,0)</f>
        <v>5</v>
      </c>
      <c r="AM89" s="211">
        <f>IFERROR(Inputs!$C$74,0)</f>
        <v>0.24299999999999999</v>
      </c>
      <c r="AN89" s="446">
        <f>IFERROR(HLOOKUP(HLOOKUP(AN$17,$V$18:$AE89,COUNTA($AK$18:$AK89),FALSE),Inputs!$B$58:$H$59,2,FALSE),0)</f>
        <v>0</v>
      </c>
      <c r="AO89" s="447">
        <f t="shared" si="1113"/>
        <v>0</v>
      </c>
      <c r="AP89" s="447">
        <f t="shared" si="1114"/>
        <v>0</v>
      </c>
      <c r="AQ89" s="446">
        <f>IFERROR(HLOOKUP(HLOOKUP(AQ$17,$V$18:$AE89,COUNTA($AK$18:$AK89),FALSE),Inputs!$B$58:$H$59,2,FALSE),0)</f>
        <v>0</v>
      </c>
      <c r="AR89" s="447">
        <f t="shared" ref="AR89" si="1217">2*$AK89*AQ89*$AL89/100*$AM89</f>
        <v>0</v>
      </c>
      <c r="AS89" s="447">
        <f t="shared" si="1116"/>
        <v>0</v>
      </c>
      <c r="AT89" s="446">
        <f>IFERROR(HLOOKUP(HLOOKUP(AT$17,$V$18:$AE89,COUNTA($AK$18:$AK89),FALSE),Inputs!$B$58:$H$59,2,FALSE),0)</f>
        <v>0</v>
      </c>
      <c r="AU89" s="447">
        <f t="shared" ref="AU89" si="1218">2*$AK89*AT89*$AL89/100*$AM89</f>
        <v>0</v>
      </c>
      <c r="AV89" s="447">
        <f t="shared" si="1118"/>
        <v>0</v>
      </c>
      <c r="AW89" s="446">
        <f>IFERROR(HLOOKUP(HLOOKUP(AW$17,$V$18:$AE89,COUNTA($AK$18:$AK89),FALSE),Inputs!$B$58:$H$59,2,FALSE),0)</f>
        <v>0</v>
      </c>
      <c r="AX89" s="447">
        <f t="shared" ref="AX89" si="1219">2*$AK89*AW89*$AL89/100*$AM89</f>
        <v>0</v>
      </c>
      <c r="AY89" s="447">
        <f t="shared" si="1120"/>
        <v>0</v>
      </c>
      <c r="AZ89" s="446">
        <f>IFERROR(HLOOKUP(HLOOKUP(AZ$17,$V$18:$AE89,COUNTA($AK$18:$AK89),FALSE),Inputs!$B$58:$H$59,2,FALSE),0)</f>
        <v>0</v>
      </c>
      <c r="BA89" s="447">
        <f t="shared" ref="BA89" si="1220">2*$AK89*AZ89*$AL89/100*$AM89</f>
        <v>0</v>
      </c>
      <c r="BB89" s="447">
        <f t="shared" si="1122"/>
        <v>0</v>
      </c>
      <c r="BC89" s="446">
        <f>IFERROR(HLOOKUP(HLOOKUP(BC$17,$V$18:$AE89,COUNTA($AK$18:$AK89),FALSE),Inputs!$B$58:$H$59,2,FALSE),0)</f>
        <v>0</v>
      </c>
      <c r="BD89" s="447">
        <f t="shared" ref="BD89" si="1221">2*$AK89*BC89*$AL89/100*$AM89</f>
        <v>0</v>
      </c>
      <c r="BE89" s="447">
        <f t="shared" si="1124"/>
        <v>0</v>
      </c>
      <c r="BF89" s="446">
        <f>IFERROR(HLOOKUP(HLOOKUP(BF$17,$V$18:$AE89,COUNTA($AK$18:$AK89),FALSE),Inputs!$B$58:$H$59,2,FALSE),0)</f>
        <v>0</v>
      </c>
      <c r="BG89" s="447">
        <f t="shared" ref="BG89" si="1222">2*$AK89*BF89*$AL89/100*$AM89</f>
        <v>0</v>
      </c>
      <c r="BH89" s="447">
        <f t="shared" si="1126"/>
        <v>0</v>
      </c>
      <c r="BI89" s="446">
        <f>IFERROR(HLOOKUP(HLOOKUP(BI$17,$V$18:$AE89,COUNTA($AK$18:$AK89),FALSE),Inputs!$B$58:$H$59,2,FALSE),0)</f>
        <v>0</v>
      </c>
      <c r="BJ89" s="447">
        <f t="shared" ref="BJ89" si="1223">2*$AK89*BI89*$AL89/100*$AM89</f>
        <v>0</v>
      </c>
      <c r="BK89" s="447">
        <f t="shared" si="1128"/>
        <v>0</v>
      </c>
      <c r="BL89" s="446">
        <f>IFERROR(HLOOKUP(HLOOKUP(BL$17,$V$18:$AE89,COUNTA($AK$18:$AK89),FALSE),Inputs!$B$58:$H$59,2,FALSE),0)</f>
        <v>0</v>
      </c>
      <c r="BM89" s="447">
        <f t="shared" ref="BM89" si="1224">2*$AK89*BL89*$AL89/100*$AM89</f>
        <v>0</v>
      </c>
      <c r="BN89" s="447">
        <f t="shared" si="1130"/>
        <v>0</v>
      </c>
      <c r="BO89" s="446">
        <f>IFERROR(HLOOKUP(HLOOKUP(BO$17,$V$18:$AE89,COUNTA($AK$18:$AK89),FALSE),Inputs!$B$58:$H$59,2,FALSE),0)</f>
        <v>0</v>
      </c>
      <c r="BP89" s="447">
        <f t="shared" ref="BP89" si="1225">2*$AK89*BO89*$AL89/100*$AM89</f>
        <v>0</v>
      </c>
      <c r="BQ89" s="447">
        <f t="shared" si="1132"/>
        <v>0</v>
      </c>
      <c r="BR89" s="54"/>
      <c r="BS89" s="103">
        <f t="shared" ca="1" si="1203"/>
        <v>937.660565557616</v>
      </c>
      <c r="BT89" s="103">
        <f t="shared" ca="1" si="1204"/>
        <v>515.93507043889758</v>
      </c>
      <c r="BU89" s="103">
        <f t="shared" si="1205"/>
        <v>232.06298842257598</v>
      </c>
      <c r="BV89" s="103">
        <f t="shared" si="1206"/>
        <v>0</v>
      </c>
      <c r="BW89" s="152">
        <f t="shared" ca="1" si="1207"/>
        <v>1685.6586244190894</v>
      </c>
      <c r="BX89" s="441"/>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188">
        <f t="shared" si="1133"/>
        <v>3.5127272727272691</v>
      </c>
      <c r="DE89" s="188">
        <f t="shared" si="1134"/>
        <v>0.7599999999999989</v>
      </c>
      <c r="DF89" s="188">
        <f t="shared" si="1135"/>
        <v>0.45999999999999908</v>
      </c>
      <c r="DG89" s="188">
        <f t="shared" si="1136"/>
        <v>0.15999999999999925</v>
      </c>
      <c r="DH89" s="188">
        <f t="shared" si="1137"/>
        <v>-0.3</v>
      </c>
      <c r="DI89" s="188">
        <f t="shared" si="1138"/>
        <v>-0.3</v>
      </c>
      <c r="DJ89" s="188">
        <f t="shared" si="1139"/>
        <v>-0.3</v>
      </c>
      <c r="DK89" s="188">
        <f t="shared" si="1140"/>
        <v>-0.3</v>
      </c>
      <c r="DL89" s="188">
        <f t="shared" si="1141"/>
        <v>-0.3</v>
      </c>
      <c r="DM89" s="188">
        <f t="shared" si="1142"/>
        <v>-0.3</v>
      </c>
      <c r="DN89" s="189">
        <f t="shared" si="1143"/>
        <v>3.9527272727272695</v>
      </c>
      <c r="DO89" s="189">
        <f t="shared" si="1144"/>
        <v>1.1999999999999993</v>
      </c>
      <c r="DP89" s="189">
        <f t="shared" si="1145"/>
        <v>0.89999999999999947</v>
      </c>
      <c r="DQ89" s="189">
        <f t="shared" si="1146"/>
        <v>0.59999999999999964</v>
      </c>
      <c r="DR89" s="189">
        <f t="shared" si="1147"/>
        <v>4.9999999999999822E-2</v>
      </c>
      <c r="DS89" s="189">
        <f t="shared" si="1148"/>
        <v>0</v>
      </c>
      <c r="DT89" s="189">
        <f t="shared" si="1149"/>
        <v>0</v>
      </c>
      <c r="DU89" s="189">
        <f t="shared" si="1150"/>
        <v>0</v>
      </c>
      <c r="DV89" s="189">
        <f t="shared" si="1151"/>
        <v>0</v>
      </c>
      <c r="DW89" s="189">
        <f t="shared" si="1152"/>
        <v>0</v>
      </c>
      <c r="DX89" s="54"/>
      <c r="DY89" s="54"/>
      <c r="DZ89" s="199">
        <f t="shared" ca="1" si="1055"/>
        <v>190881.48371924739</v>
      </c>
      <c r="EA89" s="200">
        <f t="shared" si="1153"/>
        <v>1</v>
      </c>
      <c r="EB89" s="201">
        <f t="shared" ca="1" si="1056"/>
        <v>101700.19852331531</v>
      </c>
      <c r="EC89" s="200">
        <f t="shared" si="1154"/>
        <v>1</v>
      </c>
      <c r="ED89" s="201" cm="1">
        <f t="array" ref="ED89">IF(LEFT($AG89,3)="Res",IF(OR($DN89&gt;External_Threshold,$DD89&gt;0),1*Uplift*AWE*(External),0),0)</f>
        <v>15481.186685962373</v>
      </c>
      <c r="EE89" s="200">
        <f t="shared" si="1155"/>
        <v>1</v>
      </c>
      <c r="EF89" s="201">
        <f t="shared" si="1057"/>
        <v>0</v>
      </c>
      <c r="EG89" s="203">
        <f t="shared" si="1156"/>
        <v>0</v>
      </c>
      <c r="EH89" s="199">
        <f t="shared" ca="1" si="1058"/>
        <v>57523.574378919453</v>
      </c>
      <c r="EI89" s="200">
        <f t="shared" si="1059"/>
        <v>1</v>
      </c>
      <c r="EJ89" s="201">
        <f t="shared" ca="1" si="1060"/>
        <v>45562.442810239969</v>
      </c>
      <c r="EK89" s="200">
        <f t="shared" si="1061"/>
        <v>1</v>
      </c>
      <c r="EL89" s="201" cm="1">
        <f t="array" ref="EL89">IF(LEFT($AG89,3)="Res",IF(OR($DO89&gt;External_Threshold,$DE89&gt;0),1*Uplift*AWE*(External),0),0)</f>
        <v>15481.186685962373</v>
      </c>
      <c r="EM89" s="200">
        <f t="shared" si="1062"/>
        <v>1</v>
      </c>
      <c r="EN89" s="201">
        <f t="shared" si="1063"/>
        <v>0</v>
      </c>
      <c r="EO89" s="203">
        <f t="shared" si="1157"/>
        <v>0</v>
      </c>
      <c r="EP89" s="199">
        <f t="shared" ca="1" si="1064"/>
        <v>54947.891944042458</v>
      </c>
      <c r="EQ89" s="200">
        <f t="shared" si="1065"/>
        <v>1</v>
      </c>
      <c r="ER89" s="201">
        <f t="shared" ca="1" si="1066"/>
        <v>37558.525676763398</v>
      </c>
      <c r="ES89" s="200">
        <f t="shared" si="1067"/>
        <v>1</v>
      </c>
      <c r="ET89" s="201" cm="1">
        <f t="array" ref="ET89">IF(LEFT($AG89,3)="Res",IF(OR($DP89&gt;External_Threshold,$DF89&gt;0),1*Uplift*AWE*(External),0),0)</f>
        <v>15481.186685962373</v>
      </c>
      <c r="EU89" s="200">
        <f t="shared" si="1068"/>
        <v>1</v>
      </c>
      <c r="EV89" s="201">
        <f t="shared" si="1069"/>
        <v>0</v>
      </c>
      <c r="EW89" s="203">
        <f t="shared" si="1158"/>
        <v>0</v>
      </c>
      <c r="EX89" s="199">
        <f t="shared" ca="1" si="1070"/>
        <v>51256.080454052113</v>
      </c>
      <c r="EY89" s="200">
        <f t="shared" si="1071"/>
        <v>1</v>
      </c>
      <c r="EZ89" s="201">
        <f t="shared" ca="1" si="1072"/>
        <v>20110.796718612881</v>
      </c>
      <c r="FA89" s="200">
        <f t="shared" si="1073"/>
        <v>1</v>
      </c>
      <c r="FB89" s="201" cm="1">
        <f t="array" ref="FB89">IF(LEFT($AG89,3)="Res",IF(OR($DQ89&gt;External_Threshold,$DG89&gt;0),1*Uplift*AWE*(External),0),0)</f>
        <v>15481.186685962373</v>
      </c>
      <c r="FC89" s="200">
        <f t="shared" si="1074"/>
        <v>1</v>
      </c>
      <c r="FD89" s="201">
        <f t="shared" si="1075"/>
        <v>0</v>
      </c>
      <c r="FE89" s="203">
        <f t="shared" si="1159"/>
        <v>0</v>
      </c>
      <c r="FF89" s="199">
        <f t="shared" ca="1" si="1076"/>
        <v>0</v>
      </c>
      <c r="FG89" s="200">
        <f t="shared" si="1077"/>
        <v>0</v>
      </c>
      <c r="FH89" s="201">
        <f t="shared" ca="1" si="1078"/>
        <v>0</v>
      </c>
      <c r="FI89" s="200">
        <f t="shared" si="1079"/>
        <v>0</v>
      </c>
      <c r="FJ89" s="201" cm="1">
        <f t="array" ref="FJ89">IF(LEFT($AG89,3)="Res",IF(OR($DR89&gt;External_Threshold,$DH89&gt;0),1*Uplift*AWE*(External),0),0)</f>
        <v>0</v>
      </c>
      <c r="FK89" s="200">
        <f t="shared" si="1080"/>
        <v>1</v>
      </c>
      <c r="FL89" s="201">
        <f t="shared" si="1081"/>
        <v>0</v>
      </c>
      <c r="FM89" s="203">
        <f t="shared" si="1160"/>
        <v>0</v>
      </c>
      <c r="FN89" s="199">
        <f t="shared" ca="1" si="1082"/>
        <v>0</v>
      </c>
      <c r="FO89" s="200">
        <f t="shared" si="1083"/>
        <v>0</v>
      </c>
      <c r="FP89" s="201">
        <f t="shared" ca="1" si="1084"/>
        <v>0</v>
      </c>
      <c r="FQ89" s="200">
        <f t="shared" si="1085"/>
        <v>0</v>
      </c>
      <c r="FR89" s="201" cm="1">
        <f t="array" ref="FR89">IF(LEFT($AG89,3)="Res",IF(OR($DS89&gt;External_Threshold,$DI89&gt;0),1*Uplift*AWE*(External),0),0)</f>
        <v>0</v>
      </c>
      <c r="FS89" s="200">
        <f t="shared" si="1086"/>
        <v>0</v>
      </c>
      <c r="FT89" s="201">
        <f t="shared" si="1087"/>
        <v>0</v>
      </c>
      <c r="FU89" s="203">
        <f t="shared" si="1161"/>
        <v>0</v>
      </c>
      <c r="FV89" s="199">
        <f t="shared" ca="1" si="1088"/>
        <v>0</v>
      </c>
      <c r="FW89" s="200">
        <f t="shared" si="1089"/>
        <v>0</v>
      </c>
      <c r="FX89" s="201">
        <f t="shared" ca="1" si="1090"/>
        <v>0</v>
      </c>
      <c r="FY89" s="200">
        <f t="shared" si="1091"/>
        <v>0</v>
      </c>
      <c r="FZ89" s="201" cm="1">
        <f t="array" ref="FZ89">IF(LEFT($AG89,3)="Res",IF(OR($DT89&gt;External_Threshold,$DJ89&gt;0),1*Uplift*AWE*(External),0),0)</f>
        <v>0</v>
      </c>
      <c r="GA89" s="200">
        <f t="shared" si="1092"/>
        <v>0</v>
      </c>
      <c r="GB89" s="201">
        <f t="shared" si="1093"/>
        <v>0</v>
      </c>
      <c r="GC89" s="203">
        <f t="shared" si="1162"/>
        <v>0</v>
      </c>
      <c r="GD89" s="199">
        <f t="shared" ca="1" si="1094"/>
        <v>0</v>
      </c>
      <c r="GE89" s="200">
        <f t="shared" si="1095"/>
        <v>0</v>
      </c>
      <c r="GF89" s="201">
        <f t="shared" ca="1" si="1096"/>
        <v>0</v>
      </c>
      <c r="GG89" s="200">
        <f t="shared" si="1097"/>
        <v>0</v>
      </c>
      <c r="GH89" s="201" cm="1">
        <f t="array" ref="GH89">IF(LEFT($AG89,3)="Res",IF(OR($DU89&gt;External_Threshold,$DK89&gt;0),1*Uplift*AWE*(External),0),0)</f>
        <v>0</v>
      </c>
      <c r="GI89" s="200">
        <f t="shared" si="1098"/>
        <v>0</v>
      </c>
      <c r="GJ89" s="201">
        <f t="shared" si="1099"/>
        <v>0</v>
      </c>
      <c r="GK89" s="203">
        <f t="shared" si="1163"/>
        <v>0</v>
      </c>
      <c r="GL89" s="199">
        <f t="shared" ca="1" si="1100"/>
        <v>0</v>
      </c>
      <c r="GM89" s="200">
        <f t="shared" si="1101"/>
        <v>0</v>
      </c>
      <c r="GN89" s="201">
        <f t="shared" ca="1" si="1102"/>
        <v>0</v>
      </c>
      <c r="GO89" s="200">
        <f t="shared" si="1103"/>
        <v>0</v>
      </c>
      <c r="GP89" s="201" cm="1">
        <f t="array" ref="GP89">IF(LEFT($AG89,3)="Res",IF(OR($DV89&gt;External_Threshold,$DL89&gt;0),1*Uplift*AWE*(External),0),0)</f>
        <v>0</v>
      </c>
      <c r="GQ89" s="200">
        <f t="shared" si="1104"/>
        <v>0</v>
      </c>
      <c r="GR89" s="201">
        <f t="shared" si="1105"/>
        <v>0</v>
      </c>
      <c r="GS89" s="203">
        <f t="shared" si="1164"/>
        <v>0</v>
      </c>
      <c r="GT89" s="199">
        <f t="shared" ca="1" si="1106"/>
        <v>0</v>
      </c>
      <c r="GU89" s="200">
        <f t="shared" si="1107"/>
        <v>0</v>
      </c>
      <c r="GV89" s="201">
        <f t="shared" ca="1" si="1108"/>
        <v>0</v>
      </c>
      <c r="GW89" s="200">
        <f t="shared" si="1109"/>
        <v>0</v>
      </c>
      <c r="GX89" s="201" cm="1">
        <f t="array" ref="GX89">IF(LEFT($AG89,3)="Res",IF(OR($DW89&gt;External_Threshold,$DM89&gt;0),1*Uplift*AWE*(External),0),0)</f>
        <v>0</v>
      </c>
      <c r="GY89" s="200">
        <f t="shared" si="1110"/>
        <v>0</v>
      </c>
      <c r="GZ89" s="201">
        <f t="shared" si="1111"/>
        <v>0</v>
      </c>
      <c r="HA89" s="203">
        <f t="shared" si="1165"/>
        <v>0</v>
      </c>
      <c r="HB89" s="54"/>
      <c r="HC89" s="54"/>
      <c r="HD89" s="54"/>
      <c r="HE89" s="54"/>
      <c r="HF89" s="54"/>
      <c r="HG89" s="201">
        <f t="shared" ca="1" si="1166"/>
        <v>308062.86892852507</v>
      </c>
      <c r="HH89" s="201">
        <f t="shared" ca="1" si="1167"/>
        <v>118567.20387512179</v>
      </c>
      <c r="HI89" s="201">
        <f t="shared" ca="1" si="1168"/>
        <v>107987.60430676822</v>
      </c>
      <c r="HJ89" s="201">
        <f t="shared" ca="1" si="1169"/>
        <v>86848.063858627371</v>
      </c>
      <c r="HK89" s="201">
        <f t="shared" ca="1" si="1170"/>
        <v>0</v>
      </c>
      <c r="HL89" s="201">
        <f t="shared" ca="1" si="1171"/>
        <v>0</v>
      </c>
      <c r="HM89" s="201">
        <f t="shared" ca="1" si="1172"/>
        <v>0</v>
      </c>
      <c r="HN89" s="201">
        <f t="shared" ca="1" si="1173"/>
        <v>0</v>
      </c>
      <c r="HO89" s="201">
        <f t="shared" ca="1" si="1174"/>
        <v>0</v>
      </c>
      <c r="HP89" s="201">
        <f t="shared" ca="1" si="1175"/>
        <v>0</v>
      </c>
      <c r="HQ89" s="54"/>
    </row>
    <row r="90" spans="1:225" x14ac:dyDescent="0.3">
      <c r="A90" s="513">
        <v>72</v>
      </c>
      <c r="B90" s="514" t="s">
        <v>495</v>
      </c>
      <c r="C90" s="514" t="s">
        <v>390</v>
      </c>
      <c r="D90" s="514" t="s">
        <v>390</v>
      </c>
      <c r="E90" s="513">
        <v>1</v>
      </c>
      <c r="F90" s="515">
        <v>5.84</v>
      </c>
      <c r="G90" s="515">
        <v>5.35</v>
      </c>
      <c r="H90" s="513">
        <v>2</v>
      </c>
      <c r="I90" s="517">
        <v>1</v>
      </c>
      <c r="J90" s="518" t="s">
        <v>42</v>
      </c>
      <c r="K90" s="513">
        <f t="shared" si="1044"/>
        <v>90</v>
      </c>
      <c r="L90" s="519">
        <v>9.3727272727272695</v>
      </c>
      <c r="M90" s="519">
        <v>6.6199999999999992</v>
      </c>
      <c r="N90" s="519">
        <v>6.3199999999999994</v>
      </c>
      <c r="O90" s="519">
        <v>6.02</v>
      </c>
      <c r="P90" s="519">
        <v>5.47</v>
      </c>
      <c r="Q90" s="519">
        <v>5</v>
      </c>
      <c r="R90" s="519">
        <v>4.2</v>
      </c>
      <c r="S90" s="519">
        <v>0</v>
      </c>
      <c r="T90" s="519">
        <v>0</v>
      </c>
      <c r="U90" s="519">
        <v>0</v>
      </c>
      <c r="V90" s="536"/>
      <c r="W90" s="536"/>
      <c r="X90" s="536"/>
      <c r="Y90" s="536"/>
      <c r="Z90" s="536"/>
      <c r="AA90" s="536"/>
      <c r="AB90" s="536"/>
      <c r="AC90" s="536"/>
      <c r="AD90" s="536"/>
      <c r="AE90" s="536"/>
      <c r="AF90" s="54"/>
      <c r="AG90" s="204" t="str">
        <f t="shared" si="465"/>
        <v>Res1</v>
      </c>
      <c r="AH90" s="204">
        <f t="shared" si="1112"/>
        <v>4</v>
      </c>
      <c r="AI90" s="204">
        <f t="shared" si="1045"/>
        <v>1</v>
      </c>
      <c r="AJ90" s="54"/>
      <c r="AK90" s="74">
        <f>IFERROR(IF(H90&gt;4,0,AI90*Inputs!$C$55),0)</f>
        <v>2.6</v>
      </c>
      <c r="AL90" s="81">
        <f>IFERROR(Inputs!$C$73,0)</f>
        <v>5</v>
      </c>
      <c r="AM90" s="211">
        <f>IFERROR(Inputs!$C$74,0)</f>
        <v>0.24299999999999999</v>
      </c>
      <c r="AN90" s="446">
        <f>IFERROR(HLOOKUP(HLOOKUP(AN$17,$V$18:$AE90,COUNTA($AK$18:$AK90),FALSE),Inputs!$B$58:$H$59,2,FALSE),0)</f>
        <v>0</v>
      </c>
      <c r="AO90" s="447">
        <f t="shared" si="1113"/>
        <v>0</v>
      </c>
      <c r="AP90" s="447">
        <f t="shared" si="1114"/>
        <v>0</v>
      </c>
      <c r="AQ90" s="446">
        <f>IFERROR(HLOOKUP(HLOOKUP(AQ$17,$V$18:$AE90,COUNTA($AK$18:$AK90),FALSE),Inputs!$B$58:$H$59,2,FALSE),0)</f>
        <v>0</v>
      </c>
      <c r="AR90" s="447">
        <f t="shared" ref="AR90" si="1226">2*$AK90*AQ90*$AL90/100*$AM90</f>
        <v>0</v>
      </c>
      <c r="AS90" s="447">
        <f t="shared" si="1116"/>
        <v>0</v>
      </c>
      <c r="AT90" s="446">
        <f>IFERROR(HLOOKUP(HLOOKUP(AT$17,$V$18:$AE90,COUNTA($AK$18:$AK90),FALSE),Inputs!$B$58:$H$59,2,FALSE),0)</f>
        <v>0</v>
      </c>
      <c r="AU90" s="447">
        <f t="shared" ref="AU90" si="1227">2*$AK90*AT90*$AL90/100*$AM90</f>
        <v>0</v>
      </c>
      <c r="AV90" s="447">
        <f t="shared" si="1118"/>
        <v>0</v>
      </c>
      <c r="AW90" s="446">
        <f>IFERROR(HLOOKUP(HLOOKUP(AW$17,$V$18:$AE90,COUNTA($AK$18:$AK90),FALSE),Inputs!$B$58:$H$59,2,FALSE),0)</f>
        <v>0</v>
      </c>
      <c r="AX90" s="447">
        <f t="shared" ref="AX90" si="1228">2*$AK90*AW90*$AL90/100*$AM90</f>
        <v>0</v>
      </c>
      <c r="AY90" s="447">
        <f t="shared" si="1120"/>
        <v>0</v>
      </c>
      <c r="AZ90" s="446">
        <f>IFERROR(HLOOKUP(HLOOKUP(AZ$17,$V$18:$AE90,COUNTA($AK$18:$AK90),FALSE),Inputs!$B$58:$H$59,2,FALSE),0)</f>
        <v>0</v>
      </c>
      <c r="BA90" s="447">
        <f t="shared" ref="BA90" si="1229">2*$AK90*AZ90*$AL90/100*$AM90</f>
        <v>0</v>
      </c>
      <c r="BB90" s="447">
        <f t="shared" si="1122"/>
        <v>0</v>
      </c>
      <c r="BC90" s="446">
        <f>IFERROR(HLOOKUP(HLOOKUP(BC$17,$V$18:$AE90,COUNTA($AK$18:$AK90),FALSE),Inputs!$B$58:$H$59,2,FALSE),0)</f>
        <v>0</v>
      </c>
      <c r="BD90" s="447">
        <f t="shared" ref="BD90" si="1230">2*$AK90*BC90*$AL90/100*$AM90</f>
        <v>0</v>
      </c>
      <c r="BE90" s="447">
        <f t="shared" si="1124"/>
        <v>0</v>
      </c>
      <c r="BF90" s="446">
        <f>IFERROR(HLOOKUP(HLOOKUP(BF$17,$V$18:$AE90,COUNTA($AK$18:$AK90),FALSE),Inputs!$B$58:$H$59,2,FALSE),0)</f>
        <v>0</v>
      </c>
      <c r="BG90" s="447">
        <f t="shared" ref="BG90" si="1231">2*$AK90*BF90*$AL90/100*$AM90</f>
        <v>0</v>
      </c>
      <c r="BH90" s="447">
        <f t="shared" si="1126"/>
        <v>0</v>
      </c>
      <c r="BI90" s="446">
        <f>IFERROR(HLOOKUP(HLOOKUP(BI$17,$V$18:$AE90,COUNTA($AK$18:$AK90),FALSE),Inputs!$B$58:$H$59,2,FALSE),0)</f>
        <v>0</v>
      </c>
      <c r="BJ90" s="447">
        <f t="shared" ref="BJ90" si="1232">2*$AK90*BI90*$AL90/100*$AM90</f>
        <v>0</v>
      </c>
      <c r="BK90" s="447">
        <f t="shared" si="1128"/>
        <v>0</v>
      </c>
      <c r="BL90" s="446">
        <f>IFERROR(HLOOKUP(HLOOKUP(BL$17,$V$18:$AE90,COUNTA($AK$18:$AK90),FALSE),Inputs!$B$58:$H$59,2,FALSE),0)</f>
        <v>0</v>
      </c>
      <c r="BM90" s="447">
        <f t="shared" ref="BM90" si="1233">2*$AK90*BL90*$AL90/100*$AM90</f>
        <v>0</v>
      </c>
      <c r="BN90" s="447">
        <f t="shared" si="1130"/>
        <v>0</v>
      </c>
      <c r="BO90" s="446">
        <f>IFERROR(HLOOKUP(HLOOKUP(BO$17,$V$18:$AE90,COUNTA($AK$18:$AK90),FALSE),Inputs!$B$58:$H$59,2,FALSE),0)</f>
        <v>0</v>
      </c>
      <c r="BP90" s="447">
        <f t="shared" ref="BP90" si="1234">2*$AK90*BO90*$AL90/100*$AM90</f>
        <v>0</v>
      </c>
      <c r="BQ90" s="447">
        <f t="shared" si="1132"/>
        <v>0</v>
      </c>
      <c r="BR90" s="54"/>
      <c r="BS90" s="103">
        <f t="shared" ca="1" si="1203"/>
        <v>642.09889877894364</v>
      </c>
      <c r="BT90" s="103">
        <f t="shared" ca="1" si="1204"/>
        <v>484.48004734415349</v>
      </c>
      <c r="BU90" s="103">
        <f t="shared" si="1205"/>
        <v>232.06298842257598</v>
      </c>
      <c r="BV90" s="103">
        <f t="shared" si="1206"/>
        <v>0</v>
      </c>
      <c r="BW90" s="152">
        <f t="shared" ca="1" si="1207"/>
        <v>1358.6419345456729</v>
      </c>
      <c r="BX90" s="441"/>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188">
        <f t="shared" si="1133"/>
        <v>3.5327272727272696</v>
      </c>
      <c r="DE90" s="188">
        <f t="shared" si="1134"/>
        <v>0.77999999999999936</v>
      </c>
      <c r="DF90" s="188">
        <f t="shared" si="1135"/>
        <v>0.47999999999999954</v>
      </c>
      <c r="DG90" s="188">
        <f t="shared" si="1136"/>
        <v>0.17999999999999972</v>
      </c>
      <c r="DH90" s="188">
        <f t="shared" si="1137"/>
        <v>-0.3</v>
      </c>
      <c r="DI90" s="188">
        <f t="shared" si="1138"/>
        <v>-0.3</v>
      </c>
      <c r="DJ90" s="188">
        <f t="shared" si="1139"/>
        <v>-0.3</v>
      </c>
      <c r="DK90" s="188">
        <f t="shared" si="1140"/>
        <v>-0.3</v>
      </c>
      <c r="DL90" s="188">
        <f t="shared" si="1141"/>
        <v>-0.3</v>
      </c>
      <c r="DM90" s="188">
        <f t="shared" si="1142"/>
        <v>-0.3</v>
      </c>
      <c r="DN90" s="189">
        <f t="shared" si="1143"/>
        <v>4.0227272727272698</v>
      </c>
      <c r="DO90" s="189">
        <f t="shared" si="1144"/>
        <v>1.2699999999999996</v>
      </c>
      <c r="DP90" s="189">
        <f t="shared" si="1145"/>
        <v>0.96999999999999975</v>
      </c>
      <c r="DQ90" s="189">
        <f t="shared" si="1146"/>
        <v>0.66999999999999993</v>
      </c>
      <c r="DR90" s="189">
        <f t="shared" si="1147"/>
        <v>0.12000000000000011</v>
      </c>
      <c r="DS90" s="189">
        <f t="shared" si="1148"/>
        <v>0</v>
      </c>
      <c r="DT90" s="189">
        <f t="shared" si="1149"/>
        <v>0</v>
      </c>
      <c r="DU90" s="189">
        <f t="shared" si="1150"/>
        <v>0</v>
      </c>
      <c r="DV90" s="189">
        <f t="shared" si="1151"/>
        <v>0</v>
      </c>
      <c r="DW90" s="189">
        <f t="shared" si="1152"/>
        <v>0</v>
      </c>
      <c r="DX90" s="54"/>
      <c r="DY90" s="54"/>
      <c r="DZ90" s="199">
        <f t="shared" ca="1" si="1055"/>
        <v>78505.097684515204</v>
      </c>
      <c r="EA90" s="200">
        <f t="shared" si="1153"/>
        <v>1</v>
      </c>
      <c r="EB90" s="201">
        <f t="shared" ca="1" si="1056"/>
        <v>58677.283708671122</v>
      </c>
      <c r="EC90" s="200">
        <f t="shared" si="1154"/>
        <v>1</v>
      </c>
      <c r="ED90" s="201" cm="1">
        <f t="array" ref="ED90">IF(LEFT($AG90,3)="Res",IF(OR($DN90&gt;External_Threshold,$DD90&gt;0),1*Uplift*AWE*(External),0),0)</f>
        <v>15481.186685962373</v>
      </c>
      <c r="EE90" s="200">
        <f t="shared" si="1155"/>
        <v>1</v>
      </c>
      <c r="EF90" s="201">
        <f t="shared" si="1057"/>
        <v>0</v>
      </c>
      <c r="EG90" s="203">
        <f t="shared" si="1156"/>
        <v>0</v>
      </c>
      <c r="EH90" s="199">
        <f t="shared" ca="1" si="1058"/>
        <v>43169.289073806081</v>
      </c>
      <c r="EI90" s="200">
        <f t="shared" si="1059"/>
        <v>1</v>
      </c>
      <c r="EJ90" s="201">
        <f t="shared" ca="1" si="1060"/>
        <v>42844.516396144296</v>
      </c>
      <c r="EK90" s="200">
        <f t="shared" si="1061"/>
        <v>1</v>
      </c>
      <c r="EL90" s="201" cm="1">
        <f t="array" ref="EL90">IF(LEFT($AG90,3)="Res",IF(OR($DO90&gt;External_Threshold,$DE90&gt;0),1*Uplift*AWE*(External),0),0)</f>
        <v>15481.186685962373</v>
      </c>
      <c r="EM90" s="200">
        <f t="shared" si="1062"/>
        <v>1</v>
      </c>
      <c r="EN90" s="201">
        <f t="shared" si="1063"/>
        <v>0</v>
      </c>
      <c r="EO90" s="203">
        <f t="shared" si="1157"/>
        <v>0</v>
      </c>
      <c r="EP90" s="199">
        <f t="shared" ca="1" si="1064"/>
        <v>40870.332850940664</v>
      </c>
      <c r="EQ90" s="200">
        <f t="shared" si="1065"/>
        <v>1</v>
      </c>
      <c r="ER90" s="201">
        <f t="shared" ca="1" si="1066"/>
        <v>35624.840411637095</v>
      </c>
      <c r="ES90" s="200">
        <f t="shared" si="1067"/>
        <v>1</v>
      </c>
      <c r="ET90" s="201" cm="1">
        <f t="array" ref="ET90">IF(LEFT($AG90,3)="Res",IF(OR($DP90&gt;External_Threshold,$DF90&gt;0),1*Uplift*AWE*(External),0),0)</f>
        <v>15481.186685962373</v>
      </c>
      <c r="EU90" s="200">
        <f t="shared" si="1068"/>
        <v>1</v>
      </c>
      <c r="EV90" s="201">
        <f t="shared" si="1069"/>
        <v>0</v>
      </c>
      <c r="EW90" s="203">
        <f t="shared" si="1158"/>
        <v>0</v>
      </c>
      <c r="EX90" s="199">
        <f t="shared" ca="1" si="1070"/>
        <v>39039.682525325617</v>
      </c>
      <c r="EY90" s="200">
        <f t="shared" si="1071"/>
        <v>1</v>
      </c>
      <c r="EZ90" s="201">
        <f t="shared" ca="1" si="1072"/>
        <v>23559.962666546307</v>
      </c>
      <c r="FA90" s="200">
        <f t="shared" si="1073"/>
        <v>1</v>
      </c>
      <c r="FB90" s="201" cm="1">
        <f t="array" ref="FB90">IF(LEFT($AG90,3)="Res",IF(OR($DQ90&gt;External_Threshold,$DG90&gt;0),1*Uplift*AWE*(External),0),0)</f>
        <v>15481.186685962373</v>
      </c>
      <c r="FC90" s="200">
        <f t="shared" si="1074"/>
        <v>1</v>
      </c>
      <c r="FD90" s="201">
        <f t="shared" si="1075"/>
        <v>0</v>
      </c>
      <c r="FE90" s="203">
        <f t="shared" si="1159"/>
        <v>0</v>
      </c>
      <c r="FF90" s="199">
        <f t="shared" ca="1" si="1076"/>
        <v>0</v>
      </c>
      <c r="FG90" s="200">
        <f t="shared" si="1077"/>
        <v>0</v>
      </c>
      <c r="FH90" s="201">
        <f t="shared" ca="1" si="1078"/>
        <v>0</v>
      </c>
      <c r="FI90" s="200">
        <f t="shared" si="1079"/>
        <v>0</v>
      </c>
      <c r="FJ90" s="201" cm="1">
        <f t="array" ref="FJ90">IF(LEFT($AG90,3)="Res",IF(OR($DR90&gt;External_Threshold,$DH90&gt;0),1*Uplift*AWE*(External),0),0)</f>
        <v>0</v>
      </c>
      <c r="FK90" s="200">
        <f t="shared" si="1080"/>
        <v>1</v>
      </c>
      <c r="FL90" s="201">
        <f t="shared" si="1081"/>
        <v>0</v>
      </c>
      <c r="FM90" s="203">
        <f t="shared" si="1160"/>
        <v>0</v>
      </c>
      <c r="FN90" s="199">
        <f t="shared" ca="1" si="1082"/>
        <v>0</v>
      </c>
      <c r="FO90" s="200">
        <f t="shared" si="1083"/>
        <v>0</v>
      </c>
      <c r="FP90" s="201">
        <f t="shared" ca="1" si="1084"/>
        <v>0</v>
      </c>
      <c r="FQ90" s="200">
        <f t="shared" si="1085"/>
        <v>0</v>
      </c>
      <c r="FR90" s="201" cm="1">
        <f t="array" ref="FR90">IF(LEFT($AG90,3)="Res",IF(OR($DS90&gt;External_Threshold,$DI90&gt;0),1*Uplift*AWE*(External),0),0)</f>
        <v>0</v>
      </c>
      <c r="FS90" s="200">
        <f t="shared" si="1086"/>
        <v>0</v>
      </c>
      <c r="FT90" s="201">
        <f t="shared" si="1087"/>
        <v>0</v>
      </c>
      <c r="FU90" s="203">
        <f t="shared" si="1161"/>
        <v>0</v>
      </c>
      <c r="FV90" s="199">
        <f t="shared" ca="1" si="1088"/>
        <v>0</v>
      </c>
      <c r="FW90" s="200">
        <f t="shared" si="1089"/>
        <v>0</v>
      </c>
      <c r="FX90" s="201">
        <f t="shared" ca="1" si="1090"/>
        <v>0</v>
      </c>
      <c r="FY90" s="200">
        <f t="shared" si="1091"/>
        <v>0</v>
      </c>
      <c r="FZ90" s="201" cm="1">
        <f t="array" ref="FZ90">IF(LEFT($AG90,3)="Res",IF(OR($DT90&gt;External_Threshold,$DJ90&gt;0),1*Uplift*AWE*(External),0),0)</f>
        <v>0</v>
      </c>
      <c r="GA90" s="200">
        <f t="shared" si="1092"/>
        <v>0</v>
      </c>
      <c r="GB90" s="201">
        <f t="shared" si="1093"/>
        <v>0</v>
      </c>
      <c r="GC90" s="203">
        <f t="shared" si="1162"/>
        <v>0</v>
      </c>
      <c r="GD90" s="199">
        <f t="shared" ca="1" si="1094"/>
        <v>0</v>
      </c>
      <c r="GE90" s="200">
        <f t="shared" si="1095"/>
        <v>0</v>
      </c>
      <c r="GF90" s="201">
        <f t="shared" ca="1" si="1096"/>
        <v>0</v>
      </c>
      <c r="GG90" s="200">
        <f t="shared" si="1097"/>
        <v>0</v>
      </c>
      <c r="GH90" s="201" cm="1">
        <f t="array" ref="GH90">IF(LEFT($AG90,3)="Res",IF(OR($DU90&gt;External_Threshold,$DK90&gt;0),1*Uplift*AWE*(External),0),0)</f>
        <v>0</v>
      </c>
      <c r="GI90" s="200">
        <f t="shared" si="1098"/>
        <v>0</v>
      </c>
      <c r="GJ90" s="201">
        <f t="shared" si="1099"/>
        <v>0</v>
      </c>
      <c r="GK90" s="203">
        <f t="shared" si="1163"/>
        <v>0</v>
      </c>
      <c r="GL90" s="199">
        <f t="shared" ca="1" si="1100"/>
        <v>0</v>
      </c>
      <c r="GM90" s="200">
        <f t="shared" si="1101"/>
        <v>0</v>
      </c>
      <c r="GN90" s="201">
        <f t="shared" ca="1" si="1102"/>
        <v>0</v>
      </c>
      <c r="GO90" s="200">
        <f t="shared" si="1103"/>
        <v>0</v>
      </c>
      <c r="GP90" s="201" cm="1">
        <f t="array" ref="GP90">IF(LEFT($AG90,3)="Res",IF(OR($DV90&gt;External_Threshold,$DL90&gt;0),1*Uplift*AWE*(External),0),0)</f>
        <v>0</v>
      </c>
      <c r="GQ90" s="200">
        <f t="shared" si="1104"/>
        <v>0</v>
      </c>
      <c r="GR90" s="201">
        <f t="shared" si="1105"/>
        <v>0</v>
      </c>
      <c r="GS90" s="203">
        <f t="shared" si="1164"/>
        <v>0</v>
      </c>
      <c r="GT90" s="199">
        <f t="shared" ca="1" si="1106"/>
        <v>0</v>
      </c>
      <c r="GU90" s="200">
        <f t="shared" si="1107"/>
        <v>0</v>
      </c>
      <c r="GV90" s="201">
        <f t="shared" ca="1" si="1108"/>
        <v>0</v>
      </c>
      <c r="GW90" s="200">
        <f t="shared" si="1109"/>
        <v>0</v>
      </c>
      <c r="GX90" s="201" cm="1">
        <f t="array" ref="GX90">IF(LEFT($AG90,3)="Res",IF(OR($DW90&gt;External_Threshold,$DM90&gt;0),1*Uplift*AWE*(External),0),0)</f>
        <v>0</v>
      </c>
      <c r="GY90" s="200">
        <f t="shared" si="1110"/>
        <v>0</v>
      </c>
      <c r="GZ90" s="201">
        <f t="shared" si="1111"/>
        <v>0</v>
      </c>
      <c r="HA90" s="203">
        <f t="shared" si="1165"/>
        <v>0</v>
      </c>
      <c r="HB90" s="54"/>
      <c r="HC90" s="54"/>
      <c r="HD90" s="54"/>
      <c r="HE90" s="54"/>
      <c r="HF90" s="54"/>
      <c r="HG90" s="201">
        <f t="shared" ca="1" si="1166"/>
        <v>152663.56807914871</v>
      </c>
      <c r="HH90" s="201">
        <f t="shared" ca="1" si="1167"/>
        <v>101494.99215591274</v>
      </c>
      <c r="HI90" s="201">
        <f t="shared" ca="1" si="1168"/>
        <v>91976.359948540136</v>
      </c>
      <c r="HJ90" s="201">
        <f t="shared" ca="1" si="1169"/>
        <v>78080.831877834295</v>
      </c>
      <c r="HK90" s="201">
        <f t="shared" ca="1" si="1170"/>
        <v>0</v>
      </c>
      <c r="HL90" s="201">
        <f t="shared" ca="1" si="1171"/>
        <v>0</v>
      </c>
      <c r="HM90" s="201">
        <f t="shared" ca="1" si="1172"/>
        <v>0</v>
      </c>
      <c r="HN90" s="201">
        <f t="shared" ca="1" si="1173"/>
        <v>0</v>
      </c>
      <c r="HO90" s="201">
        <f t="shared" ca="1" si="1174"/>
        <v>0</v>
      </c>
      <c r="HP90" s="201">
        <f t="shared" ca="1" si="1175"/>
        <v>0</v>
      </c>
      <c r="HQ90" s="54"/>
    </row>
    <row r="91" spans="1:225" x14ac:dyDescent="0.3">
      <c r="A91" s="513">
        <v>73</v>
      </c>
      <c r="B91" s="514" t="s">
        <v>496</v>
      </c>
      <c r="C91" s="514" t="s">
        <v>390</v>
      </c>
      <c r="D91" s="514" t="s">
        <v>390</v>
      </c>
      <c r="E91" s="513">
        <v>1</v>
      </c>
      <c r="F91" s="515">
        <v>5.25</v>
      </c>
      <c r="G91" s="515">
        <v>4.74</v>
      </c>
      <c r="H91" s="513">
        <v>1</v>
      </c>
      <c r="I91" s="517">
        <v>1</v>
      </c>
      <c r="J91" s="518" t="s">
        <v>43</v>
      </c>
      <c r="K91" s="513">
        <f t="shared" si="1044"/>
        <v>180</v>
      </c>
      <c r="L91" s="519">
        <v>9.3181818181818166</v>
      </c>
      <c r="M91" s="519">
        <v>6.6</v>
      </c>
      <c r="N91" s="519">
        <v>6.3</v>
      </c>
      <c r="O91" s="519">
        <v>6</v>
      </c>
      <c r="P91" s="519">
        <v>5.47</v>
      </c>
      <c r="Q91" s="519">
        <v>5</v>
      </c>
      <c r="R91" s="519">
        <v>4.2</v>
      </c>
      <c r="S91" s="519">
        <v>0</v>
      </c>
      <c r="T91" s="519">
        <v>0</v>
      </c>
      <c r="U91" s="519">
        <v>0</v>
      </c>
      <c r="V91" s="536"/>
      <c r="W91" s="536"/>
      <c r="X91" s="536"/>
      <c r="Y91" s="536"/>
      <c r="Z91" s="536"/>
      <c r="AA91" s="536"/>
      <c r="AB91" s="536"/>
      <c r="AC91" s="536"/>
      <c r="AD91" s="536"/>
      <c r="AE91" s="536"/>
      <c r="AF91" s="54"/>
      <c r="AG91" s="204" t="str">
        <f t="shared" si="465"/>
        <v>Res1</v>
      </c>
      <c r="AH91" s="204">
        <f t="shared" si="1112"/>
        <v>5</v>
      </c>
      <c r="AI91" s="204">
        <f t="shared" si="1045"/>
        <v>1</v>
      </c>
      <c r="AJ91" s="54"/>
      <c r="AK91" s="74">
        <f>IFERROR(IF(H91&gt;4,0,AI91*Inputs!$C$55),0)</f>
        <v>2.6</v>
      </c>
      <c r="AL91" s="81">
        <f>IFERROR(Inputs!$C$73,0)</f>
        <v>5</v>
      </c>
      <c r="AM91" s="211">
        <f>IFERROR(Inputs!$C$74,0)</f>
        <v>0.24299999999999999</v>
      </c>
      <c r="AN91" s="446">
        <f>IFERROR(HLOOKUP(HLOOKUP(AN$17,$V$18:$AE91,COUNTA($AK$18:$AK91),FALSE),Inputs!$B$58:$H$59,2,FALSE),0)</f>
        <v>0</v>
      </c>
      <c r="AO91" s="447">
        <f t="shared" si="1113"/>
        <v>0</v>
      </c>
      <c r="AP91" s="447">
        <f t="shared" si="1114"/>
        <v>0</v>
      </c>
      <c r="AQ91" s="446">
        <f>IFERROR(HLOOKUP(HLOOKUP(AQ$17,$V$18:$AE91,COUNTA($AK$18:$AK91),FALSE),Inputs!$B$58:$H$59,2,FALSE),0)</f>
        <v>0</v>
      </c>
      <c r="AR91" s="447">
        <f t="shared" ref="AR91" si="1235">2*$AK91*AQ91*$AL91/100*$AM91</f>
        <v>0</v>
      </c>
      <c r="AS91" s="447">
        <f t="shared" si="1116"/>
        <v>0</v>
      </c>
      <c r="AT91" s="446">
        <f>IFERROR(HLOOKUP(HLOOKUP(AT$17,$V$18:$AE91,COUNTA($AK$18:$AK91),FALSE),Inputs!$B$58:$H$59,2,FALSE),0)</f>
        <v>0</v>
      </c>
      <c r="AU91" s="447">
        <f t="shared" ref="AU91" si="1236">2*$AK91*AT91*$AL91/100*$AM91</f>
        <v>0</v>
      </c>
      <c r="AV91" s="447">
        <f t="shared" si="1118"/>
        <v>0</v>
      </c>
      <c r="AW91" s="446">
        <f>IFERROR(HLOOKUP(HLOOKUP(AW$17,$V$18:$AE91,COUNTA($AK$18:$AK91),FALSE),Inputs!$B$58:$H$59,2,FALSE),0)</f>
        <v>0</v>
      </c>
      <c r="AX91" s="447">
        <f t="shared" ref="AX91" si="1237">2*$AK91*AW91*$AL91/100*$AM91</f>
        <v>0</v>
      </c>
      <c r="AY91" s="447">
        <f t="shared" si="1120"/>
        <v>0</v>
      </c>
      <c r="AZ91" s="446">
        <f>IFERROR(HLOOKUP(HLOOKUP(AZ$17,$V$18:$AE91,COUNTA($AK$18:$AK91),FALSE),Inputs!$B$58:$H$59,2,FALSE),0)</f>
        <v>0</v>
      </c>
      <c r="BA91" s="447">
        <f t="shared" ref="BA91" si="1238">2*$AK91*AZ91*$AL91/100*$AM91</f>
        <v>0</v>
      </c>
      <c r="BB91" s="447">
        <f t="shared" si="1122"/>
        <v>0</v>
      </c>
      <c r="BC91" s="446">
        <f>IFERROR(HLOOKUP(HLOOKUP(BC$17,$V$18:$AE91,COUNTA($AK$18:$AK91),FALSE),Inputs!$B$58:$H$59,2,FALSE),0)</f>
        <v>0</v>
      </c>
      <c r="BD91" s="447">
        <f t="shared" ref="BD91" si="1239">2*$AK91*BC91*$AL91/100*$AM91</f>
        <v>0</v>
      </c>
      <c r="BE91" s="447">
        <f t="shared" si="1124"/>
        <v>0</v>
      </c>
      <c r="BF91" s="446">
        <f>IFERROR(HLOOKUP(HLOOKUP(BF$17,$V$18:$AE91,COUNTA($AK$18:$AK91),FALSE),Inputs!$B$58:$H$59,2,FALSE),0)</f>
        <v>0</v>
      </c>
      <c r="BG91" s="447">
        <f t="shared" ref="BG91" si="1240">2*$AK91*BF91*$AL91/100*$AM91</f>
        <v>0</v>
      </c>
      <c r="BH91" s="447">
        <f t="shared" si="1126"/>
        <v>0</v>
      </c>
      <c r="BI91" s="446">
        <f>IFERROR(HLOOKUP(HLOOKUP(BI$17,$V$18:$AE91,COUNTA($AK$18:$AK91),FALSE),Inputs!$B$58:$H$59,2,FALSE),0)</f>
        <v>0</v>
      </c>
      <c r="BJ91" s="447">
        <f t="shared" ref="BJ91" si="1241">2*$AK91*BI91*$AL91/100*$AM91</f>
        <v>0</v>
      </c>
      <c r="BK91" s="447">
        <f t="shared" si="1128"/>
        <v>0</v>
      </c>
      <c r="BL91" s="446">
        <f>IFERROR(HLOOKUP(HLOOKUP(BL$17,$V$18:$AE91,COUNTA($AK$18:$AK91),FALSE),Inputs!$B$58:$H$59,2,FALSE),0)</f>
        <v>0</v>
      </c>
      <c r="BM91" s="447">
        <f t="shared" ref="BM91" si="1242">2*$AK91*BL91*$AL91/100*$AM91</f>
        <v>0</v>
      </c>
      <c r="BN91" s="447">
        <f t="shared" si="1130"/>
        <v>0</v>
      </c>
      <c r="BO91" s="446">
        <f>IFERROR(HLOOKUP(HLOOKUP(BO$17,$V$18:$AE91,COUNTA($AK$18:$AK91),FALSE),Inputs!$B$58:$H$59,2,FALSE),0)</f>
        <v>0</v>
      </c>
      <c r="BP91" s="447">
        <f t="shared" ref="BP91" si="1243">2*$AK91*BO91*$AL91/100*$AM91</f>
        <v>0</v>
      </c>
      <c r="BQ91" s="447">
        <f t="shared" si="1132"/>
        <v>0</v>
      </c>
      <c r="BR91" s="54"/>
      <c r="BS91" s="103">
        <f t="shared" ca="1" si="1203"/>
        <v>3023.8041776628079</v>
      </c>
      <c r="BT91" s="103">
        <f t="shared" ca="1" si="1204"/>
        <v>1997.8250178863718</v>
      </c>
      <c r="BU91" s="103">
        <f t="shared" si="1205"/>
        <v>541.68672214182345</v>
      </c>
      <c r="BV91" s="103">
        <f t="shared" si="1206"/>
        <v>0</v>
      </c>
      <c r="BW91" s="152">
        <f t="shared" ca="1" si="1207"/>
        <v>5563.3159176910031</v>
      </c>
      <c r="BX91" s="441"/>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188">
        <f t="shared" si="1133"/>
        <v>4.0681818181818166</v>
      </c>
      <c r="DE91" s="188">
        <f t="shared" si="1134"/>
        <v>1.3499999999999996</v>
      </c>
      <c r="DF91" s="188">
        <f t="shared" si="1135"/>
        <v>1.0499999999999998</v>
      </c>
      <c r="DG91" s="188">
        <f t="shared" si="1136"/>
        <v>0.75</v>
      </c>
      <c r="DH91" s="188">
        <f t="shared" si="1137"/>
        <v>0.21999999999999975</v>
      </c>
      <c r="DI91" s="188">
        <f t="shared" si="1138"/>
        <v>-0.25</v>
      </c>
      <c r="DJ91" s="188">
        <f t="shared" si="1139"/>
        <v>-0.3</v>
      </c>
      <c r="DK91" s="188">
        <f t="shared" si="1140"/>
        <v>-0.3</v>
      </c>
      <c r="DL91" s="188">
        <f t="shared" si="1141"/>
        <v>-0.3</v>
      </c>
      <c r="DM91" s="188">
        <f t="shared" si="1142"/>
        <v>-0.3</v>
      </c>
      <c r="DN91" s="189">
        <f t="shared" si="1143"/>
        <v>4.5781818181818164</v>
      </c>
      <c r="DO91" s="189">
        <f t="shared" si="1144"/>
        <v>1.8599999999999994</v>
      </c>
      <c r="DP91" s="189">
        <f t="shared" si="1145"/>
        <v>1.5599999999999996</v>
      </c>
      <c r="DQ91" s="189">
        <f t="shared" si="1146"/>
        <v>1.2599999999999998</v>
      </c>
      <c r="DR91" s="189">
        <f t="shared" si="1147"/>
        <v>0.72999999999999954</v>
      </c>
      <c r="DS91" s="189">
        <f t="shared" si="1148"/>
        <v>0.25999999999999979</v>
      </c>
      <c r="DT91" s="189">
        <f t="shared" si="1149"/>
        <v>0</v>
      </c>
      <c r="DU91" s="189">
        <f t="shared" si="1150"/>
        <v>0</v>
      </c>
      <c r="DV91" s="189">
        <f t="shared" si="1151"/>
        <v>0</v>
      </c>
      <c r="DW91" s="189">
        <f t="shared" si="1152"/>
        <v>0</v>
      </c>
      <c r="DX91" s="54"/>
      <c r="DY91" s="54"/>
      <c r="DZ91" s="199">
        <f t="shared" ca="1" si="1055"/>
        <v>157010.19536903041</v>
      </c>
      <c r="EA91" s="200">
        <f t="shared" si="1153"/>
        <v>1</v>
      </c>
      <c r="EB91" s="201">
        <f t="shared" ca="1" si="1056"/>
        <v>100954.56741734224</v>
      </c>
      <c r="EC91" s="200">
        <f t="shared" si="1154"/>
        <v>1</v>
      </c>
      <c r="ED91" s="201" cm="1">
        <f t="array" ref="ED91">IF(LEFT($AG91,3)="Res",IF(OR($DN91&gt;External_Threshold,$DD91&gt;0),1*Uplift*AWE*(External),0),0)</f>
        <v>15481.186685962373</v>
      </c>
      <c r="EE91" s="200">
        <f t="shared" si="1155"/>
        <v>1</v>
      </c>
      <c r="EF91" s="201">
        <f t="shared" si="1057"/>
        <v>0</v>
      </c>
      <c r="EG91" s="203">
        <f t="shared" si="1156"/>
        <v>0</v>
      </c>
      <c r="EH91" s="199">
        <f t="shared" ca="1" si="1058"/>
        <v>104423.70043415342</v>
      </c>
      <c r="EI91" s="200">
        <f t="shared" si="1059"/>
        <v>1</v>
      </c>
      <c r="EJ91" s="201">
        <f t="shared" ca="1" si="1060"/>
        <v>92378.190029422825</v>
      </c>
      <c r="EK91" s="200">
        <f t="shared" si="1061"/>
        <v>1</v>
      </c>
      <c r="EL91" s="201" cm="1">
        <f t="array" ref="EL91">IF(LEFT($AG91,3)="Res",IF(OR($DO91&gt;External_Threshold,$DE91&gt;0),1*Uplift*AWE*(External),0),0)</f>
        <v>15481.186685962373</v>
      </c>
      <c r="EM91" s="200">
        <f t="shared" si="1062"/>
        <v>1</v>
      </c>
      <c r="EN91" s="201">
        <f t="shared" si="1063"/>
        <v>0</v>
      </c>
      <c r="EO91" s="203">
        <f t="shared" si="1157"/>
        <v>0</v>
      </c>
      <c r="EP91" s="199">
        <f t="shared" ca="1" si="1064"/>
        <v>91549.54558610711</v>
      </c>
      <c r="EQ91" s="200">
        <f t="shared" si="1065"/>
        <v>1</v>
      </c>
      <c r="ER91" s="201">
        <f t="shared" ca="1" si="1066"/>
        <v>88307.92984927517</v>
      </c>
      <c r="ES91" s="200">
        <f t="shared" si="1067"/>
        <v>1</v>
      </c>
      <c r="ET91" s="201" cm="1">
        <f t="array" ref="ET91">IF(LEFT($AG91,3)="Res",IF(OR($DP91&gt;External_Threshold,$DF91&gt;0),1*Uplift*AWE*(External),0),0)</f>
        <v>15481.186685962373</v>
      </c>
      <c r="EU91" s="200">
        <f t="shared" si="1068"/>
        <v>1</v>
      </c>
      <c r="EV91" s="201">
        <f t="shared" si="1069"/>
        <v>0</v>
      </c>
      <c r="EW91" s="203">
        <f t="shared" si="1158"/>
        <v>0</v>
      </c>
      <c r="EX91" s="199">
        <f t="shared" ca="1" si="1070"/>
        <v>85572.259406657031</v>
      </c>
      <c r="EY91" s="200">
        <f t="shared" si="1071"/>
        <v>1</v>
      </c>
      <c r="EZ91" s="201">
        <f t="shared" ca="1" si="1072"/>
        <v>72168.188416500459</v>
      </c>
      <c r="FA91" s="200">
        <f t="shared" si="1073"/>
        <v>1</v>
      </c>
      <c r="FB91" s="201" cm="1">
        <f t="array" ref="FB91">IF(LEFT($AG91,3)="Res",IF(OR($DQ91&gt;External_Threshold,$DG91&gt;0),1*Uplift*AWE*(External),0),0)</f>
        <v>15481.186685962373</v>
      </c>
      <c r="FC91" s="200">
        <f t="shared" si="1074"/>
        <v>1</v>
      </c>
      <c r="FD91" s="201">
        <f t="shared" si="1075"/>
        <v>0</v>
      </c>
      <c r="FE91" s="203">
        <f t="shared" si="1159"/>
        <v>0</v>
      </c>
      <c r="FF91" s="199">
        <f t="shared" ca="1" si="1076"/>
        <v>78079.365050651235</v>
      </c>
      <c r="FG91" s="200">
        <f t="shared" si="1077"/>
        <v>1</v>
      </c>
      <c r="FH91" s="201">
        <f t="shared" ca="1" si="1078"/>
        <v>38619.925333092615</v>
      </c>
      <c r="FI91" s="200">
        <f t="shared" si="1079"/>
        <v>1</v>
      </c>
      <c r="FJ91" s="201" cm="1">
        <f t="array" ref="FJ91">IF(LEFT($AG91,3)="Res",IF(OR($DR91&gt;External_Threshold,$DH91&gt;0),1*Uplift*AWE*(External),0),0)</f>
        <v>15481.186685962373</v>
      </c>
      <c r="FK91" s="200">
        <f t="shared" si="1080"/>
        <v>1</v>
      </c>
      <c r="FL91" s="201">
        <f t="shared" si="1081"/>
        <v>0</v>
      </c>
      <c r="FM91" s="203">
        <f t="shared" si="1160"/>
        <v>0</v>
      </c>
      <c r="FN91" s="199">
        <f t="shared" ca="1" si="1082"/>
        <v>936.61179450072336</v>
      </c>
      <c r="FO91" s="200">
        <f t="shared" si="1083"/>
        <v>0</v>
      </c>
      <c r="FP91" s="201">
        <f t="shared" ca="1" si="1084"/>
        <v>0</v>
      </c>
      <c r="FQ91" s="200">
        <f t="shared" si="1085"/>
        <v>0</v>
      </c>
      <c r="FR91" s="201" cm="1">
        <f t="array" ref="FR91">IF(LEFT($AG91,3)="Res",IF(OR($DS91&gt;External_Threshold,$DI91&gt;0),1*Uplift*AWE*(External),0),0)</f>
        <v>0</v>
      </c>
      <c r="FS91" s="200">
        <f t="shared" si="1086"/>
        <v>1</v>
      </c>
      <c r="FT91" s="201">
        <f t="shared" si="1087"/>
        <v>0</v>
      </c>
      <c r="FU91" s="203">
        <f t="shared" si="1161"/>
        <v>0</v>
      </c>
      <c r="FV91" s="199">
        <f t="shared" ca="1" si="1088"/>
        <v>0</v>
      </c>
      <c r="FW91" s="200">
        <f t="shared" si="1089"/>
        <v>0</v>
      </c>
      <c r="FX91" s="201">
        <f t="shared" ca="1" si="1090"/>
        <v>0</v>
      </c>
      <c r="FY91" s="200">
        <f t="shared" si="1091"/>
        <v>0</v>
      </c>
      <c r="FZ91" s="201" cm="1">
        <f t="array" ref="FZ91">IF(LEFT($AG91,3)="Res",IF(OR($DT91&gt;External_Threshold,$DJ91&gt;0),1*Uplift*AWE*(External),0),0)</f>
        <v>0</v>
      </c>
      <c r="GA91" s="200">
        <f t="shared" si="1092"/>
        <v>0</v>
      </c>
      <c r="GB91" s="201">
        <f t="shared" si="1093"/>
        <v>0</v>
      </c>
      <c r="GC91" s="203">
        <f t="shared" si="1162"/>
        <v>0</v>
      </c>
      <c r="GD91" s="199">
        <f t="shared" ca="1" si="1094"/>
        <v>0</v>
      </c>
      <c r="GE91" s="200">
        <f t="shared" si="1095"/>
        <v>0</v>
      </c>
      <c r="GF91" s="201">
        <f t="shared" ca="1" si="1096"/>
        <v>0</v>
      </c>
      <c r="GG91" s="200">
        <f t="shared" si="1097"/>
        <v>0</v>
      </c>
      <c r="GH91" s="201" cm="1">
        <f t="array" ref="GH91">IF(LEFT($AG91,3)="Res",IF(OR($DU91&gt;External_Threshold,$DK91&gt;0),1*Uplift*AWE*(External),0),0)</f>
        <v>0</v>
      </c>
      <c r="GI91" s="200">
        <f t="shared" si="1098"/>
        <v>0</v>
      </c>
      <c r="GJ91" s="201">
        <f t="shared" si="1099"/>
        <v>0</v>
      </c>
      <c r="GK91" s="203">
        <f t="shared" si="1163"/>
        <v>0</v>
      </c>
      <c r="GL91" s="199">
        <f t="shared" ca="1" si="1100"/>
        <v>0</v>
      </c>
      <c r="GM91" s="200">
        <f t="shared" si="1101"/>
        <v>0</v>
      </c>
      <c r="GN91" s="201">
        <f t="shared" ca="1" si="1102"/>
        <v>0</v>
      </c>
      <c r="GO91" s="200">
        <f t="shared" si="1103"/>
        <v>0</v>
      </c>
      <c r="GP91" s="201" cm="1">
        <f t="array" ref="GP91">IF(LEFT($AG91,3)="Res",IF(OR($DV91&gt;External_Threshold,$DL91&gt;0),1*Uplift*AWE*(External),0),0)</f>
        <v>0</v>
      </c>
      <c r="GQ91" s="200">
        <f t="shared" si="1104"/>
        <v>0</v>
      </c>
      <c r="GR91" s="201">
        <f t="shared" si="1105"/>
        <v>0</v>
      </c>
      <c r="GS91" s="203">
        <f t="shared" si="1164"/>
        <v>0</v>
      </c>
      <c r="GT91" s="199">
        <f t="shared" ca="1" si="1106"/>
        <v>0</v>
      </c>
      <c r="GU91" s="200">
        <f t="shared" si="1107"/>
        <v>0</v>
      </c>
      <c r="GV91" s="201">
        <f t="shared" ca="1" si="1108"/>
        <v>0</v>
      </c>
      <c r="GW91" s="200">
        <f t="shared" si="1109"/>
        <v>0</v>
      </c>
      <c r="GX91" s="201" cm="1">
        <f t="array" ref="GX91">IF(LEFT($AG91,3)="Res",IF(OR($DW91&gt;External_Threshold,$DM91&gt;0),1*Uplift*AWE*(External),0),0)</f>
        <v>0</v>
      </c>
      <c r="GY91" s="200">
        <f t="shared" si="1110"/>
        <v>0</v>
      </c>
      <c r="GZ91" s="201">
        <f t="shared" si="1111"/>
        <v>0</v>
      </c>
      <c r="HA91" s="203">
        <f t="shared" si="1165"/>
        <v>0</v>
      </c>
      <c r="HB91" s="54"/>
      <c r="HC91" s="54"/>
      <c r="HD91" s="54"/>
      <c r="HE91" s="54"/>
      <c r="HF91" s="54"/>
      <c r="HG91" s="201">
        <f t="shared" ca="1" si="1166"/>
        <v>273445.94947233505</v>
      </c>
      <c r="HH91" s="201">
        <f t="shared" ca="1" si="1167"/>
        <v>212283.07714953861</v>
      </c>
      <c r="HI91" s="201">
        <f t="shared" ca="1" si="1168"/>
        <v>195338.66212134465</v>
      </c>
      <c r="HJ91" s="201">
        <f t="shared" ca="1" si="1169"/>
        <v>173221.63450911985</v>
      </c>
      <c r="HK91" s="201">
        <f t="shared" ca="1" si="1170"/>
        <v>132180.47706970622</v>
      </c>
      <c r="HL91" s="201">
        <f t="shared" ca="1" si="1171"/>
        <v>936.61179450072336</v>
      </c>
      <c r="HM91" s="201">
        <f t="shared" ca="1" si="1172"/>
        <v>0</v>
      </c>
      <c r="HN91" s="201">
        <f t="shared" ca="1" si="1173"/>
        <v>0</v>
      </c>
      <c r="HO91" s="201">
        <f t="shared" ca="1" si="1174"/>
        <v>0</v>
      </c>
      <c r="HP91" s="201">
        <f t="shared" ca="1" si="1175"/>
        <v>0</v>
      </c>
      <c r="HQ91" s="54"/>
    </row>
    <row r="92" spans="1:225" x14ac:dyDescent="0.3">
      <c r="A92" s="513">
        <v>74</v>
      </c>
      <c r="B92" s="514" t="s">
        <v>497</v>
      </c>
      <c r="C92" s="514" t="s">
        <v>390</v>
      </c>
      <c r="D92" s="514" t="s">
        <v>390</v>
      </c>
      <c r="E92" s="513">
        <v>1</v>
      </c>
      <c r="F92" s="515">
        <v>4.8600000000000003</v>
      </c>
      <c r="G92" s="515">
        <v>4.32</v>
      </c>
      <c r="H92" s="513">
        <v>1</v>
      </c>
      <c r="I92" s="517">
        <v>1</v>
      </c>
      <c r="J92" s="518" t="s">
        <v>44</v>
      </c>
      <c r="K92" s="513">
        <f t="shared" si="1044"/>
        <v>240</v>
      </c>
      <c r="L92" s="519">
        <v>7.6</v>
      </c>
      <c r="M92" s="519">
        <v>6.5699999999999994</v>
      </c>
      <c r="N92" s="519">
        <v>6.27</v>
      </c>
      <c r="O92" s="519">
        <v>5.97</v>
      </c>
      <c r="P92" s="519">
        <v>5.47</v>
      </c>
      <c r="Q92" s="519">
        <v>5</v>
      </c>
      <c r="R92" s="519">
        <v>4.2</v>
      </c>
      <c r="S92" s="519">
        <v>0</v>
      </c>
      <c r="T92" s="519">
        <v>0</v>
      </c>
      <c r="U92" s="519">
        <v>0</v>
      </c>
      <c r="V92" s="536"/>
      <c r="W92" s="536"/>
      <c r="X92" s="536"/>
      <c r="Y92" s="536"/>
      <c r="Z92" s="536"/>
      <c r="AA92" s="536"/>
      <c r="AB92" s="536"/>
      <c r="AC92" s="536"/>
      <c r="AD92" s="536"/>
      <c r="AE92" s="536"/>
      <c r="AF92" s="54"/>
      <c r="AG92" s="204" t="str">
        <f t="shared" si="465"/>
        <v>Res1</v>
      </c>
      <c r="AH92" s="204">
        <f t="shared" si="1112"/>
        <v>6</v>
      </c>
      <c r="AI92" s="204">
        <f t="shared" si="1045"/>
        <v>1</v>
      </c>
      <c r="AJ92" s="54"/>
      <c r="AK92" s="74">
        <f>IFERROR(IF(H92&gt;4,0,AI92*Inputs!$C$55),0)</f>
        <v>2.6</v>
      </c>
      <c r="AL92" s="81">
        <f>IFERROR(Inputs!$C$73,0)</f>
        <v>5</v>
      </c>
      <c r="AM92" s="211">
        <f>IFERROR(Inputs!$C$74,0)</f>
        <v>0.24299999999999999</v>
      </c>
      <c r="AN92" s="446">
        <f>IFERROR(HLOOKUP(HLOOKUP(AN$17,$V$18:$AE92,COUNTA($AK$18:$AK92),FALSE),Inputs!$B$58:$H$59,2,FALSE),0)</f>
        <v>0</v>
      </c>
      <c r="AO92" s="447">
        <f t="shared" si="1113"/>
        <v>0</v>
      </c>
      <c r="AP92" s="447">
        <f t="shared" si="1114"/>
        <v>0</v>
      </c>
      <c r="AQ92" s="446">
        <f>IFERROR(HLOOKUP(HLOOKUP(AQ$17,$V$18:$AE92,COUNTA($AK$18:$AK92),FALSE),Inputs!$B$58:$H$59,2,FALSE),0)</f>
        <v>0</v>
      </c>
      <c r="AR92" s="447">
        <f t="shared" ref="AR92" si="1244">2*$AK92*AQ92*$AL92/100*$AM92</f>
        <v>0</v>
      </c>
      <c r="AS92" s="447">
        <f t="shared" si="1116"/>
        <v>0</v>
      </c>
      <c r="AT92" s="446">
        <f>IFERROR(HLOOKUP(HLOOKUP(AT$17,$V$18:$AE92,COUNTA($AK$18:$AK92),FALSE),Inputs!$B$58:$H$59,2,FALSE),0)</f>
        <v>0</v>
      </c>
      <c r="AU92" s="447">
        <f t="shared" ref="AU92" si="1245">2*$AK92*AT92*$AL92/100*$AM92</f>
        <v>0</v>
      </c>
      <c r="AV92" s="447">
        <f t="shared" si="1118"/>
        <v>0</v>
      </c>
      <c r="AW92" s="446">
        <f>IFERROR(HLOOKUP(HLOOKUP(AW$17,$V$18:$AE92,COUNTA($AK$18:$AK92),FALSE),Inputs!$B$58:$H$59,2,FALSE),0)</f>
        <v>0</v>
      </c>
      <c r="AX92" s="447">
        <f t="shared" ref="AX92" si="1246">2*$AK92*AW92*$AL92/100*$AM92</f>
        <v>0</v>
      </c>
      <c r="AY92" s="447">
        <f t="shared" si="1120"/>
        <v>0</v>
      </c>
      <c r="AZ92" s="446">
        <f>IFERROR(HLOOKUP(HLOOKUP(AZ$17,$V$18:$AE92,COUNTA($AK$18:$AK92),FALSE),Inputs!$B$58:$H$59,2,FALSE),0)</f>
        <v>0</v>
      </c>
      <c r="BA92" s="447">
        <f t="shared" ref="BA92" si="1247">2*$AK92*AZ92*$AL92/100*$AM92</f>
        <v>0</v>
      </c>
      <c r="BB92" s="447">
        <f t="shared" si="1122"/>
        <v>0</v>
      </c>
      <c r="BC92" s="446">
        <f>IFERROR(HLOOKUP(HLOOKUP(BC$17,$V$18:$AE92,COUNTA($AK$18:$AK92),FALSE),Inputs!$B$58:$H$59,2,FALSE),0)</f>
        <v>0</v>
      </c>
      <c r="BD92" s="447">
        <f t="shared" ref="BD92" si="1248">2*$AK92*BC92*$AL92/100*$AM92</f>
        <v>0</v>
      </c>
      <c r="BE92" s="447">
        <f t="shared" si="1124"/>
        <v>0</v>
      </c>
      <c r="BF92" s="446">
        <f>IFERROR(HLOOKUP(HLOOKUP(BF$17,$V$18:$AE92,COUNTA($AK$18:$AK92),FALSE),Inputs!$B$58:$H$59,2,FALSE),0)</f>
        <v>0</v>
      </c>
      <c r="BG92" s="447">
        <f t="shared" ref="BG92" si="1249">2*$AK92*BF92*$AL92/100*$AM92</f>
        <v>0</v>
      </c>
      <c r="BH92" s="447">
        <f t="shared" si="1126"/>
        <v>0</v>
      </c>
      <c r="BI92" s="446">
        <f>IFERROR(HLOOKUP(HLOOKUP(BI$17,$V$18:$AE92,COUNTA($AK$18:$AK92),FALSE),Inputs!$B$58:$H$59,2,FALSE),0)</f>
        <v>0</v>
      </c>
      <c r="BJ92" s="447">
        <f t="shared" ref="BJ92" si="1250">2*$AK92*BI92*$AL92/100*$AM92</f>
        <v>0</v>
      </c>
      <c r="BK92" s="447">
        <f t="shared" si="1128"/>
        <v>0</v>
      </c>
      <c r="BL92" s="446">
        <f>IFERROR(HLOOKUP(HLOOKUP(BL$17,$V$18:$AE92,COUNTA($AK$18:$AK92),FALSE),Inputs!$B$58:$H$59,2,FALSE),0)</f>
        <v>0</v>
      </c>
      <c r="BM92" s="447">
        <f t="shared" ref="BM92" si="1251">2*$AK92*BL92*$AL92/100*$AM92</f>
        <v>0</v>
      </c>
      <c r="BN92" s="447">
        <f t="shared" si="1130"/>
        <v>0</v>
      </c>
      <c r="BO92" s="446">
        <f>IFERROR(HLOOKUP(HLOOKUP(BO$17,$V$18:$AE92,COUNTA($AK$18:$AK92),FALSE),Inputs!$B$58:$H$59,2,FALSE),0)</f>
        <v>0</v>
      </c>
      <c r="BP92" s="447">
        <f t="shared" ref="BP92" si="1252">2*$AK92*BO92*$AL92/100*$AM92</f>
        <v>0</v>
      </c>
      <c r="BQ92" s="447">
        <f t="shared" si="1132"/>
        <v>0</v>
      </c>
      <c r="BR92" s="54"/>
      <c r="BS92" s="103">
        <f t="shared" ca="1" si="1203"/>
        <v>8365.0267292981207</v>
      </c>
      <c r="BT92" s="103">
        <f t="shared" ca="1" si="1204"/>
        <v>4974.4945936004933</v>
      </c>
      <c r="BU92" s="103">
        <f t="shared" si="1205"/>
        <v>1160.9341895803186</v>
      </c>
      <c r="BV92" s="103">
        <f t="shared" si="1206"/>
        <v>0</v>
      </c>
      <c r="BW92" s="152">
        <f t="shared" ca="1" si="1207"/>
        <v>14500.455512478933</v>
      </c>
      <c r="BX92" s="441"/>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188">
        <f t="shared" si="1133"/>
        <v>2.7399999999999993</v>
      </c>
      <c r="DE92" s="188">
        <f t="shared" si="1134"/>
        <v>1.7099999999999991</v>
      </c>
      <c r="DF92" s="188">
        <f t="shared" si="1135"/>
        <v>1.4099999999999993</v>
      </c>
      <c r="DG92" s="188">
        <f t="shared" si="1136"/>
        <v>1.1099999999999994</v>
      </c>
      <c r="DH92" s="188">
        <f t="shared" si="1137"/>
        <v>0.60999999999999943</v>
      </c>
      <c r="DI92" s="188">
        <f t="shared" si="1138"/>
        <v>0.13999999999999968</v>
      </c>
      <c r="DJ92" s="188">
        <f t="shared" si="1139"/>
        <v>-0.3</v>
      </c>
      <c r="DK92" s="188">
        <f t="shared" si="1140"/>
        <v>-0.3</v>
      </c>
      <c r="DL92" s="188">
        <f t="shared" si="1141"/>
        <v>-0.3</v>
      </c>
      <c r="DM92" s="188">
        <f t="shared" si="1142"/>
        <v>-0.3</v>
      </c>
      <c r="DN92" s="189">
        <f t="shared" si="1143"/>
        <v>3.2799999999999994</v>
      </c>
      <c r="DO92" s="189">
        <f t="shared" si="1144"/>
        <v>2.2499999999999991</v>
      </c>
      <c r="DP92" s="189">
        <f t="shared" si="1145"/>
        <v>1.9499999999999993</v>
      </c>
      <c r="DQ92" s="189">
        <f t="shared" si="1146"/>
        <v>1.6499999999999995</v>
      </c>
      <c r="DR92" s="189">
        <f t="shared" si="1147"/>
        <v>1.1499999999999995</v>
      </c>
      <c r="DS92" s="189">
        <f t="shared" si="1148"/>
        <v>0.67999999999999972</v>
      </c>
      <c r="DT92" s="189">
        <f t="shared" si="1149"/>
        <v>0</v>
      </c>
      <c r="DU92" s="189">
        <f t="shared" si="1150"/>
        <v>0</v>
      </c>
      <c r="DV92" s="189">
        <f t="shared" si="1151"/>
        <v>0</v>
      </c>
      <c r="DW92" s="189">
        <f t="shared" si="1152"/>
        <v>0</v>
      </c>
      <c r="DX92" s="54"/>
      <c r="DY92" s="54"/>
      <c r="DZ92" s="199">
        <f t="shared" ca="1" si="1055"/>
        <v>198334.64302942596</v>
      </c>
      <c r="EA92" s="200">
        <f t="shared" si="1153"/>
        <v>1</v>
      </c>
      <c r="EB92" s="201">
        <f t="shared" ca="1" si="1056"/>
        <v>129139.423223123</v>
      </c>
      <c r="EC92" s="200">
        <f t="shared" si="1154"/>
        <v>1</v>
      </c>
      <c r="ED92" s="201" cm="1">
        <f t="array" ref="ED92">IF(LEFT($AG92,3)="Res",IF(OR($DN92&gt;External_Threshold,$DD92&gt;0),1*Uplift*AWE*(External),0),0)</f>
        <v>15481.186685962373</v>
      </c>
      <c r="EE92" s="200">
        <f t="shared" si="1155"/>
        <v>1</v>
      </c>
      <c r="EF92" s="201">
        <f t="shared" si="1057"/>
        <v>0</v>
      </c>
      <c r="EG92" s="203">
        <f t="shared" si="1156"/>
        <v>0</v>
      </c>
      <c r="EH92" s="199">
        <f t="shared" ca="1" si="1058"/>
        <v>150357.41341051619</v>
      </c>
      <c r="EI92" s="200">
        <f t="shared" si="1059"/>
        <v>1</v>
      </c>
      <c r="EJ92" s="201">
        <f t="shared" ca="1" si="1060"/>
        <v>124035.76920834897</v>
      </c>
      <c r="EK92" s="200">
        <f t="shared" si="1061"/>
        <v>1</v>
      </c>
      <c r="EL92" s="201" cm="1">
        <f t="array" ref="EL92">IF(LEFT($AG92,3)="Res",IF(OR($DO92&gt;External_Threshold,$DE92&gt;0),1*Uplift*AWE*(External),0),0)</f>
        <v>15481.186685962373</v>
      </c>
      <c r="EM92" s="200">
        <f t="shared" si="1062"/>
        <v>1</v>
      </c>
      <c r="EN92" s="201">
        <f t="shared" si="1063"/>
        <v>0</v>
      </c>
      <c r="EO92" s="203">
        <f t="shared" si="1157"/>
        <v>0</v>
      </c>
      <c r="EP92" s="199">
        <f t="shared" ca="1" si="1064"/>
        <v>142092.52387843709</v>
      </c>
      <c r="EQ92" s="200">
        <f t="shared" si="1065"/>
        <v>1</v>
      </c>
      <c r="ER92" s="201">
        <f t="shared" ca="1" si="1066"/>
        <v>118608.75563481879</v>
      </c>
      <c r="ES92" s="200">
        <f t="shared" si="1067"/>
        <v>1</v>
      </c>
      <c r="ET92" s="201" cm="1">
        <f t="array" ref="ET92">IF(LEFT($AG92,3)="Res",IF(OR($DP92&gt;External_Threshold,$DF92&gt;0),1*Uplift*AWE*(External),0),0)</f>
        <v>15481.186685962373</v>
      </c>
      <c r="EU92" s="200">
        <f t="shared" si="1068"/>
        <v>1</v>
      </c>
      <c r="EV92" s="201">
        <f t="shared" si="1069"/>
        <v>0</v>
      </c>
      <c r="EW92" s="203">
        <f t="shared" si="1158"/>
        <v>0</v>
      </c>
      <c r="EX92" s="199">
        <f t="shared" ca="1" si="1070"/>
        <v>124926.984081042</v>
      </c>
      <c r="EY92" s="200">
        <f t="shared" si="1071"/>
        <v>1</v>
      </c>
      <c r="EZ92" s="201">
        <f t="shared" ca="1" si="1072"/>
        <v>113181.74206128859</v>
      </c>
      <c r="FA92" s="200">
        <f t="shared" si="1073"/>
        <v>1</v>
      </c>
      <c r="FB92" s="201" cm="1">
        <f t="array" ref="FB92">IF(LEFT($AG92,3)="Res",IF(OR($DQ92&gt;External_Threshold,$DG92&gt;0),1*Uplift*AWE*(External),0),0)</f>
        <v>15481.186685962373</v>
      </c>
      <c r="FC92" s="200">
        <f t="shared" si="1074"/>
        <v>1</v>
      </c>
      <c r="FD92" s="201">
        <f t="shared" si="1075"/>
        <v>0</v>
      </c>
      <c r="FE92" s="203">
        <f t="shared" si="1159"/>
        <v>0</v>
      </c>
      <c r="FF92" s="199">
        <f t="shared" ca="1" si="1076"/>
        <v>111031.07091172214</v>
      </c>
      <c r="FG92" s="200">
        <f t="shared" si="1077"/>
        <v>1</v>
      </c>
      <c r="FH92" s="201">
        <f t="shared" ca="1" si="1078"/>
        <v>83821.826099800572</v>
      </c>
      <c r="FI92" s="200">
        <f t="shared" si="1079"/>
        <v>1</v>
      </c>
      <c r="FJ92" s="201" cm="1">
        <f t="array" ref="FJ92">IF(LEFT($AG92,3)="Res",IF(OR($DR92&gt;External_Threshold,$DH92&gt;0),1*Uplift*AWE*(External),0),0)</f>
        <v>15481.186685962373</v>
      </c>
      <c r="FK92" s="200">
        <f t="shared" si="1080"/>
        <v>1</v>
      </c>
      <c r="FL92" s="201">
        <f t="shared" si="1081"/>
        <v>0</v>
      </c>
      <c r="FM92" s="203">
        <f t="shared" si="1160"/>
        <v>0</v>
      </c>
      <c r="FN92" s="199">
        <f t="shared" ca="1" si="1082"/>
        <v>101664.95296671492</v>
      </c>
      <c r="FO92" s="200">
        <f t="shared" si="1083"/>
        <v>1</v>
      </c>
      <c r="FP92" s="201">
        <f t="shared" ca="1" si="1084"/>
        <v>38419.925333092608</v>
      </c>
      <c r="FQ92" s="200">
        <f t="shared" si="1085"/>
        <v>1</v>
      </c>
      <c r="FR92" s="201" cm="1">
        <f t="array" ref="FR92">IF(LEFT($AG92,3)="Res",IF(OR($DS92&gt;External_Threshold,$DI92&gt;0),1*Uplift*AWE*(External),0),0)</f>
        <v>15481.186685962373</v>
      </c>
      <c r="FS92" s="200">
        <f t="shared" si="1086"/>
        <v>1</v>
      </c>
      <c r="FT92" s="201">
        <f t="shared" si="1087"/>
        <v>0</v>
      </c>
      <c r="FU92" s="203">
        <f t="shared" si="1161"/>
        <v>0</v>
      </c>
      <c r="FV92" s="199">
        <f t="shared" ca="1" si="1088"/>
        <v>0</v>
      </c>
      <c r="FW92" s="200">
        <f t="shared" si="1089"/>
        <v>0</v>
      </c>
      <c r="FX92" s="201">
        <f t="shared" ca="1" si="1090"/>
        <v>0</v>
      </c>
      <c r="FY92" s="200">
        <f t="shared" si="1091"/>
        <v>0</v>
      </c>
      <c r="FZ92" s="201" cm="1">
        <f t="array" ref="FZ92">IF(LEFT($AG92,3)="Res",IF(OR($DT92&gt;External_Threshold,$DJ92&gt;0),1*Uplift*AWE*(External),0),0)</f>
        <v>0</v>
      </c>
      <c r="GA92" s="200">
        <f t="shared" si="1092"/>
        <v>0</v>
      </c>
      <c r="GB92" s="201">
        <f t="shared" si="1093"/>
        <v>0</v>
      </c>
      <c r="GC92" s="203">
        <f t="shared" si="1162"/>
        <v>0</v>
      </c>
      <c r="GD92" s="199">
        <f t="shared" ca="1" si="1094"/>
        <v>0</v>
      </c>
      <c r="GE92" s="200">
        <f t="shared" si="1095"/>
        <v>0</v>
      </c>
      <c r="GF92" s="201">
        <f t="shared" ca="1" si="1096"/>
        <v>0</v>
      </c>
      <c r="GG92" s="200">
        <f t="shared" si="1097"/>
        <v>0</v>
      </c>
      <c r="GH92" s="201" cm="1">
        <f t="array" ref="GH92">IF(LEFT($AG92,3)="Res",IF(OR($DU92&gt;External_Threshold,$DK92&gt;0),1*Uplift*AWE*(External),0),0)</f>
        <v>0</v>
      </c>
      <c r="GI92" s="200">
        <f t="shared" si="1098"/>
        <v>0</v>
      </c>
      <c r="GJ92" s="201">
        <f t="shared" si="1099"/>
        <v>0</v>
      </c>
      <c r="GK92" s="203">
        <f t="shared" si="1163"/>
        <v>0</v>
      </c>
      <c r="GL92" s="199">
        <f t="shared" ca="1" si="1100"/>
        <v>0</v>
      </c>
      <c r="GM92" s="200">
        <f t="shared" si="1101"/>
        <v>0</v>
      </c>
      <c r="GN92" s="201">
        <f t="shared" ca="1" si="1102"/>
        <v>0</v>
      </c>
      <c r="GO92" s="200">
        <f t="shared" si="1103"/>
        <v>0</v>
      </c>
      <c r="GP92" s="201" cm="1">
        <f t="array" ref="GP92">IF(LEFT($AG92,3)="Res",IF(OR($DV92&gt;External_Threshold,$DL92&gt;0),1*Uplift*AWE*(External),0),0)</f>
        <v>0</v>
      </c>
      <c r="GQ92" s="200">
        <f t="shared" si="1104"/>
        <v>0</v>
      </c>
      <c r="GR92" s="201">
        <f t="shared" si="1105"/>
        <v>0</v>
      </c>
      <c r="GS92" s="203">
        <f t="shared" si="1164"/>
        <v>0</v>
      </c>
      <c r="GT92" s="199">
        <f t="shared" ca="1" si="1106"/>
        <v>0</v>
      </c>
      <c r="GU92" s="200">
        <f t="shared" si="1107"/>
        <v>0</v>
      </c>
      <c r="GV92" s="201">
        <f t="shared" ca="1" si="1108"/>
        <v>0</v>
      </c>
      <c r="GW92" s="200">
        <f t="shared" si="1109"/>
        <v>0</v>
      </c>
      <c r="GX92" s="201" cm="1">
        <f t="array" ref="GX92">IF(LEFT($AG92,3)="Res",IF(OR($DW92&gt;External_Threshold,$DM92&gt;0),1*Uplift*AWE*(External),0),0)</f>
        <v>0</v>
      </c>
      <c r="GY92" s="200">
        <f t="shared" si="1110"/>
        <v>0</v>
      </c>
      <c r="GZ92" s="201">
        <f t="shared" si="1111"/>
        <v>0</v>
      </c>
      <c r="HA92" s="203">
        <f t="shared" si="1165"/>
        <v>0</v>
      </c>
      <c r="HB92" s="54"/>
      <c r="HC92" s="54"/>
      <c r="HD92" s="54"/>
      <c r="HE92" s="54"/>
      <c r="HF92" s="54"/>
      <c r="HG92" s="201">
        <f t="shared" ca="1" si="1166"/>
        <v>342955.25293851132</v>
      </c>
      <c r="HH92" s="201">
        <f t="shared" ca="1" si="1167"/>
        <v>289874.36930482753</v>
      </c>
      <c r="HI92" s="201">
        <f t="shared" ca="1" si="1168"/>
        <v>276182.46619921824</v>
      </c>
      <c r="HJ92" s="201">
        <f t="shared" ca="1" si="1169"/>
        <v>253589.91282829296</v>
      </c>
      <c r="HK92" s="201">
        <f t="shared" ca="1" si="1170"/>
        <v>210334.0836974851</v>
      </c>
      <c r="HL92" s="201">
        <f t="shared" ca="1" si="1171"/>
        <v>155566.06498576989</v>
      </c>
      <c r="HM92" s="201">
        <f t="shared" ca="1" si="1172"/>
        <v>0</v>
      </c>
      <c r="HN92" s="201">
        <f t="shared" ca="1" si="1173"/>
        <v>0</v>
      </c>
      <c r="HO92" s="201">
        <f t="shared" ca="1" si="1174"/>
        <v>0</v>
      </c>
      <c r="HP92" s="201">
        <f t="shared" ca="1" si="1175"/>
        <v>0</v>
      </c>
      <c r="HQ92" s="54"/>
    </row>
    <row r="93" spans="1:225" x14ac:dyDescent="0.3">
      <c r="A93" s="513">
        <v>75</v>
      </c>
      <c r="B93" s="514" t="s">
        <v>498</v>
      </c>
      <c r="C93" s="514" t="s">
        <v>390</v>
      </c>
      <c r="D93" s="514" t="s">
        <v>390</v>
      </c>
      <c r="E93" s="513">
        <v>1</v>
      </c>
      <c r="F93" s="515">
        <v>4.72</v>
      </c>
      <c r="G93" s="515">
        <v>3.6</v>
      </c>
      <c r="H93" s="513">
        <v>1</v>
      </c>
      <c r="I93" s="517">
        <v>1</v>
      </c>
      <c r="J93" s="518" t="s">
        <v>295</v>
      </c>
      <c r="K93" s="513">
        <f t="shared" si="1044"/>
        <v>220</v>
      </c>
      <c r="L93" s="519">
        <v>8.7199999999999989</v>
      </c>
      <c r="M93" s="519">
        <v>6.55</v>
      </c>
      <c r="N93" s="519">
        <v>6.25</v>
      </c>
      <c r="O93" s="519">
        <v>5.95</v>
      </c>
      <c r="P93" s="519">
        <v>5.47</v>
      </c>
      <c r="Q93" s="519">
        <v>5</v>
      </c>
      <c r="R93" s="519">
        <v>4.2</v>
      </c>
      <c r="S93" s="519">
        <v>0</v>
      </c>
      <c r="T93" s="519">
        <v>0</v>
      </c>
      <c r="U93" s="519">
        <v>0</v>
      </c>
      <c r="V93" s="536"/>
      <c r="W93" s="536"/>
      <c r="X93" s="536"/>
      <c r="Y93" s="536"/>
      <c r="Z93" s="536"/>
      <c r="AA93" s="536"/>
      <c r="AB93" s="536"/>
      <c r="AC93" s="536"/>
      <c r="AD93" s="536"/>
      <c r="AE93" s="536"/>
      <c r="AF93" s="54"/>
      <c r="AG93" s="204" t="str">
        <f t="shared" ref="AG93:AG137" si="1253">IF(AND($H93&lt;=4),"Res","Com")&amp;IF($H93=3,1,IF($H93=4,2,IF($H93&gt;4,1,IF($E93&lt;=1,1,2))))</f>
        <v>Res1</v>
      </c>
      <c r="AH93" s="204">
        <f t="shared" si="1112"/>
        <v>6</v>
      </c>
      <c r="AI93" s="204">
        <f t="shared" si="1045"/>
        <v>1</v>
      </c>
      <c r="AJ93" s="54"/>
      <c r="AK93" s="74">
        <f>IFERROR(IF(H93&gt;4,0,AI93*Inputs!$C$55),0)</f>
        <v>2.6</v>
      </c>
      <c r="AL93" s="81">
        <f>IFERROR(Inputs!$C$73,0)</f>
        <v>5</v>
      </c>
      <c r="AM93" s="211">
        <f>IFERROR(Inputs!$C$74,0)</f>
        <v>0.24299999999999999</v>
      </c>
      <c r="AN93" s="446">
        <f>IFERROR(HLOOKUP(HLOOKUP(AN$17,$V$18:$AE93,COUNTA($AK$18:$AK93),FALSE),Inputs!$B$58:$H$59,2,FALSE),0)</f>
        <v>0</v>
      </c>
      <c r="AO93" s="447">
        <f t="shared" si="1113"/>
        <v>0</v>
      </c>
      <c r="AP93" s="447">
        <f t="shared" si="1114"/>
        <v>0</v>
      </c>
      <c r="AQ93" s="446">
        <f>IFERROR(HLOOKUP(HLOOKUP(AQ$17,$V$18:$AE93,COUNTA($AK$18:$AK93),FALSE),Inputs!$B$58:$H$59,2,FALSE),0)</f>
        <v>0</v>
      </c>
      <c r="AR93" s="447">
        <f t="shared" ref="AR93" si="1254">2*$AK93*AQ93*$AL93/100*$AM93</f>
        <v>0</v>
      </c>
      <c r="AS93" s="447">
        <f t="shared" si="1116"/>
        <v>0</v>
      </c>
      <c r="AT93" s="446">
        <f>IFERROR(HLOOKUP(HLOOKUP(AT$17,$V$18:$AE93,COUNTA($AK$18:$AK93),FALSE),Inputs!$B$58:$H$59,2,FALSE),0)</f>
        <v>0</v>
      </c>
      <c r="AU93" s="447">
        <f t="shared" ref="AU93" si="1255">2*$AK93*AT93*$AL93/100*$AM93</f>
        <v>0</v>
      </c>
      <c r="AV93" s="447">
        <f t="shared" si="1118"/>
        <v>0</v>
      </c>
      <c r="AW93" s="446">
        <f>IFERROR(HLOOKUP(HLOOKUP(AW$17,$V$18:$AE93,COUNTA($AK$18:$AK93),FALSE),Inputs!$B$58:$H$59,2,FALSE),0)</f>
        <v>0</v>
      </c>
      <c r="AX93" s="447">
        <f t="shared" ref="AX93" si="1256">2*$AK93*AW93*$AL93/100*$AM93</f>
        <v>0</v>
      </c>
      <c r="AY93" s="447">
        <f t="shared" si="1120"/>
        <v>0</v>
      </c>
      <c r="AZ93" s="446">
        <f>IFERROR(HLOOKUP(HLOOKUP(AZ$17,$V$18:$AE93,COUNTA($AK$18:$AK93),FALSE),Inputs!$B$58:$H$59,2,FALSE),0)</f>
        <v>0</v>
      </c>
      <c r="BA93" s="447">
        <f t="shared" ref="BA93" si="1257">2*$AK93*AZ93*$AL93/100*$AM93</f>
        <v>0</v>
      </c>
      <c r="BB93" s="447">
        <f t="shared" si="1122"/>
        <v>0</v>
      </c>
      <c r="BC93" s="446">
        <f>IFERROR(HLOOKUP(HLOOKUP(BC$17,$V$18:$AE93,COUNTA($AK$18:$AK93),FALSE),Inputs!$B$58:$H$59,2,FALSE),0)</f>
        <v>0</v>
      </c>
      <c r="BD93" s="447">
        <f t="shared" ref="BD93" si="1258">2*$AK93*BC93*$AL93/100*$AM93</f>
        <v>0</v>
      </c>
      <c r="BE93" s="447">
        <f t="shared" si="1124"/>
        <v>0</v>
      </c>
      <c r="BF93" s="446">
        <f>IFERROR(HLOOKUP(HLOOKUP(BF$17,$V$18:$AE93,COUNTA($AK$18:$AK93),FALSE),Inputs!$B$58:$H$59,2,FALSE),0)</f>
        <v>0</v>
      </c>
      <c r="BG93" s="447">
        <f t="shared" ref="BG93" si="1259">2*$AK93*BF93*$AL93/100*$AM93</f>
        <v>0</v>
      </c>
      <c r="BH93" s="447">
        <f t="shared" si="1126"/>
        <v>0</v>
      </c>
      <c r="BI93" s="446">
        <f>IFERROR(HLOOKUP(HLOOKUP(BI$17,$V$18:$AE93,COUNTA($AK$18:$AK93),FALSE),Inputs!$B$58:$H$59,2,FALSE),0)</f>
        <v>0</v>
      </c>
      <c r="BJ93" s="447">
        <f t="shared" ref="BJ93" si="1260">2*$AK93*BI93*$AL93/100*$AM93</f>
        <v>0</v>
      </c>
      <c r="BK93" s="447">
        <f t="shared" si="1128"/>
        <v>0</v>
      </c>
      <c r="BL93" s="446">
        <f>IFERROR(HLOOKUP(HLOOKUP(BL$17,$V$18:$AE93,COUNTA($AK$18:$AK93),FALSE),Inputs!$B$58:$H$59,2,FALSE),0)</f>
        <v>0</v>
      </c>
      <c r="BM93" s="447">
        <f t="shared" ref="BM93" si="1261">2*$AK93*BL93*$AL93/100*$AM93</f>
        <v>0</v>
      </c>
      <c r="BN93" s="447">
        <f t="shared" si="1130"/>
        <v>0</v>
      </c>
      <c r="BO93" s="446">
        <f>IFERROR(HLOOKUP(HLOOKUP(BO$17,$V$18:$AE93,COUNTA($AK$18:$AK93),FALSE),Inputs!$B$58:$H$59,2,FALSE),0)</f>
        <v>0</v>
      </c>
      <c r="BP93" s="447">
        <f t="shared" ref="BP93" si="1262">2*$AK93*BO93*$AL93/100*$AM93</f>
        <v>0</v>
      </c>
      <c r="BQ93" s="447">
        <f t="shared" si="1132"/>
        <v>0</v>
      </c>
      <c r="BR93" s="54"/>
      <c r="BS93" s="103">
        <f t="shared" ca="1" si="1203"/>
        <v>8824.7533760395563</v>
      </c>
      <c r="BT93" s="103">
        <f t="shared" ca="1" si="1204"/>
        <v>6156.6071987519736</v>
      </c>
      <c r="BU93" s="103">
        <f t="shared" si="1205"/>
        <v>2322.023191027497</v>
      </c>
      <c r="BV93" s="103">
        <f t="shared" si="1206"/>
        <v>0</v>
      </c>
      <c r="BW93" s="152">
        <f t="shared" ca="1" si="1207"/>
        <v>17303.383765819028</v>
      </c>
      <c r="BX93" s="441"/>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188">
        <f t="shared" si="1133"/>
        <v>3.9999999999999991</v>
      </c>
      <c r="DE93" s="188">
        <f t="shared" si="1134"/>
        <v>1.83</v>
      </c>
      <c r="DF93" s="188">
        <f t="shared" si="1135"/>
        <v>1.5300000000000002</v>
      </c>
      <c r="DG93" s="188">
        <f t="shared" si="1136"/>
        <v>1.2300000000000004</v>
      </c>
      <c r="DH93" s="188">
        <f t="shared" si="1137"/>
        <v>0.75</v>
      </c>
      <c r="DI93" s="188">
        <f t="shared" si="1138"/>
        <v>0.28000000000000025</v>
      </c>
      <c r="DJ93" s="188">
        <f t="shared" si="1139"/>
        <v>-0.3</v>
      </c>
      <c r="DK93" s="188">
        <f t="shared" si="1140"/>
        <v>-0.3</v>
      </c>
      <c r="DL93" s="188">
        <f t="shared" si="1141"/>
        <v>-0.3</v>
      </c>
      <c r="DM93" s="188">
        <f t="shared" si="1142"/>
        <v>-0.3</v>
      </c>
      <c r="DN93" s="189">
        <f t="shared" si="1143"/>
        <v>5.1199999999999992</v>
      </c>
      <c r="DO93" s="189">
        <f t="shared" si="1144"/>
        <v>2.9499999999999997</v>
      </c>
      <c r="DP93" s="189">
        <f t="shared" si="1145"/>
        <v>2.65</v>
      </c>
      <c r="DQ93" s="189">
        <f t="shared" si="1146"/>
        <v>2.35</v>
      </c>
      <c r="DR93" s="189">
        <f t="shared" si="1147"/>
        <v>1.8699999999999997</v>
      </c>
      <c r="DS93" s="189">
        <f t="shared" si="1148"/>
        <v>1.4</v>
      </c>
      <c r="DT93" s="189">
        <f t="shared" si="1149"/>
        <v>0.60000000000000009</v>
      </c>
      <c r="DU93" s="189">
        <f t="shared" si="1150"/>
        <v>0</v>
      </c>
      <c r="DV93" s="189">
        <f t="shared" si="1151"/>
        <v>0</v>
      </c>
      <c r="DW93" s="189">
        <f t="shared" si="1152"/>
        <v>0</v>
      </c>
      <c r="DX93" s="54"/>
      <c r="DY93" s="54"/>
      <c r="DZ93" s="199">
        <f t="shared" ca="1" si="1055"/>
        <v>209346.9271587072</v>
      </c>
      <c r="EA93" s="200">
        <f t="shared" si="1153"/>
        <v>1</v>
      </c>
      <c r="EB93" s="201">
        <f t="shared" ca="1" si="1056"/>
        <v>129139.423223123</v>
      </c>
      <c r="EC93" s="200">
        <f t="shared" si="1154"/>
        <v>1</v>
      </c>
      <c r="ED93" s="201" cm="1">
        <f t="array" ref="ED93">IF(LEFT($AG93,3)="Res",IF(OR($DN93&gt;External_Threshold,$DD93&gt;0),1*Uplift*AWE*(External),0),0)</f>
        <v>15481.186685962373</v>
      </c>
      <c r="EE93" s="200">
        <f t="shared" si="1155"/>
        <v>1</v>
      </c>
      <c r="EF93" s="201">
        <f t="shared" si="1057"/>
        <v>0</v>
      </c>
      <c r="EG93" s="203">
        <f t="shared" si="1156"/>
        <v>0</v>
      </c>
      <c r="EH93" s="199">
        <f t="shared" ca="1" si="1058"/>
        <v>152264.69561022674</v>
      </c>
      <c r="EI93" s="200">
        <f t="shared" si="1059"/>
        <v>1</v>
      </c>
      <c r="EJ93" s="201">
        <f t="shared" ca="1" si="1060"/>
        <v>125500.15837093987</v>
      </c>
      <c r="EK93" s="200">
        <f t="shared" si="1061"/>
        <v>1</v>
      </c>
      <c r="EL93" s="201" cm="1">
        <f t="array" ref="EL93">IF(LEFT($AG93,3)="Res",IF(OR($DO93&gt;External_Threshold,$DE93&gt;0),1*Uplift*AWE*(External),0),0)</f>
        <v>15481.186685962373</v>
      </c>
      <c r="EM93" s="200">
        <f t="shared" si="1062"/>
        <v>1</v>
      </c>
      <c r="EN93" s="201">
        <f t="shared" si="1063"/>
        <v>0</v>
      </c>
      <c r="EO93" s="203">
        <f t="shared" si="1157"/>
        <v>0</v>
      </c>
      <c r="EP93" s="199">
        <f t="shared" ca="1" si="1064"/>
        <v>148450.13121080564</v>
      </c>
      <c r="EQ93" s="200">
        <f t="shared" si="1065"/>
        <v>1</v>
      </c>
      <c r="ER93" s="201">
        <f t="shared" ca="1" si="1066"/>
        <v>121322.26242158389</v>
      </c>
      <c r="ES93" s="200">
        <f t="shared" si="1067"/>
        <v>1</v>
      </c>
      <c r="ET93" s="201" cm="1">
        <f t="array" ref="ET93">IF(LEFT($AG93,3)="Res",IF(OR($DP93&gt;External_Threshold,$DF93&gt;0),1*Uplift*AWE*(External),0),0)</f>
        <v>15481.186685962373</v>
      </c>
      <c r="EU93" s="200">
        <f t="shared" si="1068"/>
        <v>1</v>
      </c>
      <c r="EV93" s="201">
        <f t="shared" si="1069"/>
        <v>0</v>
      </c>
      <c r="EW93" s="203">
        <f t="shared" si="1158"/>
        <v>0</v>
      </c>
      <c r="EX93" s="199">
        <f t="shared" ca="1" si="1070"/>
        <v>133509.75397973953</v>
      </c>
      <c r="EY93" s="200">
        <f t="shared" si="1071"/>
        <v>1</v>
      </c>
      <c r="EZ93" s="201">
        <f t="shared" ca="1" si="1072"/>
        <v>115895.24884805368</v>
      </c>
      <c r="FA93" s="200">
        <f t="shared" si="1073"/>
        <v>1</v>
      </c>
      <c r="FB93" s="201" cm="1">
        <f t="array" ref="FB93">IF(LEFT($AG93,3)="Res",IF(OR($DQ93&gt;External_Threshold,$DG93&gt;0),1*Uplift*AWE*(External),0),0)</f>
        <v>15481.186685962373</v>
      </c>
      <c r="FC93" s="200">
        <f t="shared" si="1074"/>
        <v>1</v>
      </c>
      <c r="FD93" s="201">
        <f t="shared" si="1075"/>
        <v>0</v>
      </c>
      <c r="FE93" s="203">
        <f t="shared" si="1159"/>
        <v>0</v>
      </c>
      <c r="FF93" s="199">
        <f t="shared" ca="1" si="1076"/>
        <v>114096.3458755427</v>
      </c>
      <c r="FG93" s="200">
        <f t="shared" si="1077"/>
        <v>1</v>
      </c>
      <c r="FH93" s="201">
        <f t="shared" ca="1" si="1078"/>
        <v>92519.489317238709</v>
      </c>
      <c r="FI93" s="200">
        <f t="shared" si="1079"/>
        <v>1</v>
      </c>
      <c r="FJ93" s="201" cm="1">
        <f t="array" ref="FJ93">IF(LEFT($AG93,3)="Res",IF(OR($DR93&gt;External_Threshold,$DH93&gt;0),1*Uplift*AWE*(External),0),0)</f>
        <v>15481.186685962373</v>
      </c>
      <c r="FK93" s="200">
        <f t="shared" si="1080"/>
        <v>1</v>
      </c>
      <c r="FL93" s="201">
        <f t="shared" si="1081"/>
        <v>0</v>
      </c>
      <c r="FM93" s="203">
        <f t="shared" si="1160"/>
        <v>0</v>
      </c>
      <c r="FN93" s="199">
        <f t="shared" ca="1" si="1082"/>
        <v>108987.5542691751</v>
      </c>
      <c r="FO93" s="200">
        <f t="shared" si="1083"/>
        <v>1</v>
      </c>
      <c r="FP93" s="201">
        <f t="shared" ca="1" si="1084"/>
        <v>62752.434377948979</v>
      </c>
      <c r="FQ93" s="200">
        <f t="shared" si="1085"/>
        <v>1</v>
      </c>
      <c r="FR93" s="201" cm="1">
        <f t="array" ref="FR93">IF(LEFT($AG93,3)="Res",IF(OR($DS93&gt;External_Threshold,$DI93&gt;0),1*Uplift*AWE*(External),0),0)</f>
        <v>15481.186685962373</v>
      </c>
      <c r="FS93" s="200">
        <f t="shared" si="1086"/>
        <v>1</v>
      </c>
      <c r="FT93" s="201">
        <f t="shared" si="1087"/>
        <v>0</v>
      </c>
      <c r="FU93" s="203">
        <f t="shared" si="1161"/>
        <v>0</v>
      </c>
      <c r="FV93" s="199">
        <f t="shared" ca="1" si="1088"/>
        <v>0</v>
      </c>
      <c r="FW93" s="200">
        <f t="shared" si="1089"/>
        <v>0</v>
      </c>
      <c r="FX93" s="201">
        <f t="shared" ca="1" si="1090"/>
        <v>0</v>
      </c>
      <c r="FY93" s="200">
        <f t="shared" si="1091"/>
        <v>0</v>
      </c>
      <c r="FZ93" s="201" cm="1">
        <f t="array" ref="FZ93">IF(LEFT($AG93,3)="Res",IF(OR($DT93&gt;External_Threshold,$DJ93&gt;0),1*Uplift*AWE*(External),0),0)</f>
        <v>15481.186685962373</v>
      </c>
      <c r="GA93" s="200">
        <f t="shared" si="1092"/>
        <v>1</v>
      </c>
      <c r="GB93" s="201">
        <f t="shared" si="1093"/>
        <v>0</v>
      </c>
      <c r="GC93" s="203">
        <f t="shared" si="1162"/>
        <v>0</v>
      </c>
      <c r="GD93" s="199">
        <f t="shared" ca="1" si="1094"/>
        <v>0</v>
      </c>
      <c r="GE93" s="200">
        <f t="shared" si="1095"/>
        <v>0</v>
      </c>
      <c r="GF93" s="201">
        <f t="shared" ca="1" si="1096"/>
        <v>0</v>
      </c>
      <c r="GG93" s="200">
        <f t="shared" si="1097"/>
        <v>0</v>
      </c>
      <c r="GH93" s="201" cm="1">
        <f t="array" ref="GH93">IF(LEFT($AG93,3)="Res",IF(OR($DU93&gt;External_Threshold,$DK93&gt;0),1*Uplift*AWE*(External),0),0)</f>
        <v>0</v>
      </c>
      <c r="GI93" s="200">
        <f t="shared" si="1098"/>
        <v>0</v>
      </c>
      <c r="GJ93" s="201">
        <f t="shared" si="1099"/>
        <v>0</v>
      </c>
      <c r="GK93" s="203">
        <f t="shared" si="1163"/>
        <v>0</v>
      </c>
      <c r="GL93" s="199">
        <f t="shared" ca="1" si="1100"/>
        <v>0</v>
      </c>
      <c r="GM93" s="200">
        <f t="shared" si="1101"/>
        <v>0</v>
      </c>
      <c r="GN93" s="201">
        <f t="shared" ca="1" si="1102"/>
        <v>0</v>
      </c>
      <c r="GO93" s="200">
        <f t="shared" si="1103"/>
        <v>0</v>
      </c>
      <c r="GP93" s="201" cm="1">
        <f t="array" ref="GP93">IF(LEFT($AG93,3)="Res",IF(OR($DV93&gt;External_Threshold,$DL93&gt;0),1*Uplift*AWE*(External),0),0)</f>
        <v>0</v>
      </c>
      <c r="GQ93" s="200">
        <f t="shared" si="1104"/>
        <v>0</v>
      </c>
      <c r="GR93" s="201">
        <f t="shared" si="1105"/>
        <v>0</v>
      </c>
      <c r="GS93" s="203">
        <f t="shared" si="1164"/>
        <v>0</v>
      </c>
      <c r="GT93" s="199">
        <f t="shared" ca="1" si="1106"/>
        <v>0</v>
      </c>
      <c r="GU93" s="200">
        <f t="shared" si="1107"/>
        <v>0</v>
      </c>
      <c r="GV93" s="201">
        <f t="shared" ca="1" si="1108"/>
        <v>0</v>
      </c>
      <c r="GW93" s="200">
        <f t="shared" si="1109"/>
        <v>0</v>
      </c>
      <c r="GX93" s="201" cm="1">
        <f t="array" ref="GX93">IF(LEFT($AG93,3)="Res",IF(OR($DW93&gt;External_Threshold,$DM93&gt;0),1*Uplift*AWE*(External),0),0)</f>
        <v>0</v>
      </c>
      <c r="GY93" s="200">
        <f t="shared" si="1110"/>
        <v>0</v>
      </c>
      <c r="GZ93" s="201">
        <f t="shared" si="1111"/>
        <v>0</v>
      </c>
      <c r="HA93" s="203">
        <f t="shared" si="1165"/>
        <v>0</v>
      </c>
      <c r="HB93" s="54"/>
      <c r="HC93" s="54"/>
      <c r="HD93" s="54"/>
      <c r="HE93" s="54"/>
      <c r="HF93" s="54"/>
      <c r="HG93" s="201">
        <f t="shared" ca="1" si="1166"/>
        <v>353967.53706779255</v>
      </c>
      <c r="HH93" s="201">
        <f t="shared" ca="1" si="1167"/>
        <v>293246.04066712898</v>
      </c>
      <c r="HI93" s="201">
        <f t="shared" ca="1" si="1168"/>
        <v>285253.58031835192</v>
      </c>
      <c r="HJ93" s="201">
        <f t="shared" ca="1" si="1169"/>
        <v>264886.18951375561</v>
      </c>
      <c r="HK93" s="201">
        <f t="shared" ca="1" si="1170"/>
        <v>222097.02187874378</v>
      </c>
      <c r="HL93" s="201">
        <f t="shared" ca="1" si="1171"/>
        <v>187221.17533308646</v>
      </c>
      <c r="HM93" s="201">
        <f t="shared" ca="1" si="1172"/>
        <v>15481.186685962373</v>
      </c>
      <c r="HN93" s="201">
        <f t="shared" ca="1" si="1173"/>
        <v>0</v>
      </c>
      <c r="HO93" s="201">
        <f t="shared" ca="1" si="1174"/>
        <v>0</v>
      </c>
      <c r="HP93" s="201">
        <f t="shared" ca="1" si="1175"/>
        <v>0</v>
      </c>
      <c r="HQ93" s="54"/>
    </row>
    <row r="94" spans="1:225" x14ac:dyDescent="0.3">
      <c r="A94" s="513">
        <v>76</v>
      </c>
      <c r="B94" s="514" t="s">
        <v>499</v>
      </c>
      <c r="C94" s="514" t="s">
        <v>390</v>
      </c>
      <c r="D94" s="514" t="s">
        <v>390</v>
      </c>
      <c r="E94" s="513">
        <v>1</v>
      </c>
      <c r="F94" s="515">
        <v>4.4000000000000004</v>
      </c>
      <c r="G94" s="515">
        <v>4.05</v>
      </c>
      <c r="H94" s="513">
        <v>2</v>
      </c>
      <c r="I94" s="517">
        <v>1</v>
      </c>
      <c r="J94" s="518" t="s">
        <v>137</v>
      </c>
      <c r="K94" s="513">
        <f t="shared" si="1044"/>
        <v>160</v>
      </c>
      <c r="L94" s="519">
        <v>8.7199999999999989</v>
      </c>
      <c r="M94" s="519">
        <v>6.55</v>
      </c>
      <c r="N94" s="519">
        <v>6.25</v>
      </c>
      <c r="O94" s="519">
        <v>5.95</v>
      </c>
      <c r="P94" s="519">
        <v>5.47</v>
      </c>
      <c r="Q94" s="519">
        <v>5</v>
      </c>
      <c r="R94" s="519">
        <v>4.2</v>
      </c>
      <c r="S94" s="519">
        <v>0</v>
      </c>
      <c r="T94" s="519">
        <v>0</v>
      </c>
      <c r="U94" s="519">
        <v>0</v>
      </c>
      <c r="V94" s="536"/>
      <c r="W94" s="536"/>
      <c r="X94" s="536"/>
      <c r="Y94" s="536"/>
      <c r="Z94" s="536"/>
      <c r="AA94" s="536"/>
      <c r="AB94" s="536"/>
      <c r="AC94" s="536"/>
      <c r="AD94" s="536"/>
      <c r="AE94" s="536"/>
      <c r="AF94" s="54"/>
      <c r="AG94" s="204" t="str">
        <f t="shared" si="1253"/>
        <v>Res1</v>
      </c>
      <c r="AH94" s="204">
        <f t="shared" si="1112"/>
        <v>7</v>
      </c>
      <c r="AI94" s="204">
        <f t="shared" si="1045"/>
        <v>1</v>
      </c>
      <c r="AJ94" s="54"/>
      <c r="AK94" s="74">
        <f>IFERROR(IF(H94&gt;4,0,AI94*Inputs!$C$55),0)</f>
        <v>2.6</v>
      </c>
      <c r="AL94" s="81">
        <f>IFERROR(Inputs!$C$73,0)</f>
        <v>5</v>
      </c>
      <c r="AM94" s="211">
        <f>IFERROR(Inputs!$C$74,0)</f>
        <v>0.24299999999999999</v>
      </c>
      <c r="AN94" s="446">
        <f>IFERROR(HLOOKUP(HLOOKUP(AN$17,$V$18:$AE94,COUNTA($AK$18:$AK94),FALSE),Inputs!$B$58:$H$59,2,FALSE),0)</f>
        <v>0</v>
      </c>
      <c r="AO94" s="447">
        <f t="shared" si="1113"/>
        <v>0</v>
      </c>
      <c r="AP94" s="447">
        <f t="shared" si="1114"/>
        <v>0</v>
      </c>
      <c r="AQ94" s="446">
        <f>IFERROR(HLOOKUP(HLOOKUP(AQ$17,$V$18:$AE94,COUNTA($AK$18:$AK94),FALSE),Inputs!$B$58:$H$59,2,FALSE),0)</f>
        <v>0</v>
      </c>
      <c r="AR94" s="447">
        <f t="shared" ref="AR94" si="1263">2*$AK94*AQ94*$AL94/100*$AM94</f>
        <v>0</v>
      </c>
      <c r="AS94" s="447">
        <f t="shared" si="1116"/>
        <v>0</v>
      </c>
      <c r="AT94" s="446">
        <f>IFERROR(HLOOKUP(HLOOKUP(AT$17,$V$18:$AE94,COUNTA($AK$18:$AK94),FALSE),Inputs!$B$58:$H$59,2,FALSE),0)</f>
        <v>0</v>
      </c>
      <c r="AU94" s="447">
        <f t="shared" ref="AU94" si="1264">2*$AK94*AT94*$AL94/100*$AM94</f>
        <v>0</v>
      </c>
      <c r="AV94" s="447">
        <f t="shared" si="1118"/>
        <v>0</v>
      </c>
      <c r="AW94" s="446">
        <f>IFERROR(HLOOKUP(HLOOKUP(AW$17,$V$18:$AE94,COUNTA($AK$18:$AK94),FALSE),Inputs!$B$58:$H$59,2,FALSE),0)</f>
        <v>0</v>
      </c>
      <c r="AX94" s="447">
        <f t="shared" ref="AX94" si="1265">2*$AK94*AW94*$AL94/100*$AM94</f>
        <v>0</v>
      </c>
      <c r="AY94" s="447">
        <f t="shared" si="1120"/>
        <v>0</v>
      </c>
      <c r="AZ94" s="446">
        <f>IFERROR(HLOOKUP(HLOOKUP(AZ$17,$V$18:$AE94,COUNTA($AK$18:$AK94),FALSE),Inputs!$B$58:$H$59,2,FALSE),0)</f>
        <v>0</v>
      </c>
      <c r="BA94" s="447">
        <f t="shared" ref="BA94" si="1266">2*$AK94*AZ94*$AL94/100*$AM94</f>
        <v>0</v>
      </c>
      <c r="BB94" s="447">
        <f t="shared" si="1122"/>
        <v>0</v>
      </c>
      <c r="BC94" s="446">
        <f>IFERROR(HLOOKUP(HLOOKUP(BC$17,$V$18:$AE94,COUNTA($AK$18:$AK94),FALSE),Inputs!$B$58:$H$59,2,FALSE),0)</f>
        <v>0</v>
      </c>
      <c r="BD94" s="447">
        <f t="shared" ref="BD94" si="1267">2*$AK94*BC94*$AL94/100*$AM94</f>
        <v>0</v>
      </c>
      <c r="BE94" s="447">
        <f t="shared" si="1124"/>
        <v>0</v>
      </c>
      <c r="BF94" s="446">
        <f>IFERROR(HLOOKUP(HLOOKUP(BF$17,$V$18:$AE94,COUNTA($AK$18:$AK94),FALSE),Inputs!$B$58:$H$59,2,FALSE),0)</f>
        <v>0</v>
      </c>
      <c r="BG94" s="447">
        <f t="shared" ref="BG94" si="1268">2*$AK94*BF94*$AL94/100*$AM94</f>
        <v>0</v>
      </c>
      <c r="BH94" s="447">
        <f t="shared" si="1126"/>
        <v>0</v>
      </c>
      <c r="BI94" s="446">
        <f>IFERROR(HLOOKUP(HLOOKUP(BI$17,$V$18:$AE94,COUNTA($AK$18:$AK94),FALSE),Inputs!$B$58:$H$59,2,FALSE),0)</f>
        <v>0</v>
      </c>
      <c r="BJ94" s="447">
        <f t="shared" ref="BJ94" si="1269">2*$AK94*BI94*$AL94/100*$AM94</f>
        <v>0</v>
      </c>
      <c r="BK94" s="447">
        <f t="shared" si="1128"/>
        <v>0</v>
      </c>
      <c r="BL94" s="446">
        <f>IFERROR(HLOOKUP(HLOOKUP(BL$17,$V$18:$AE94,COUNTA($AK$18:$AK94),FALSE),Inputs!$B$58:$H$59,2,FALSE),0)</f>
        <v>0</v>
      </c>
      <c r="BM94" s="447">
        <f t="shared" ref="BM94" si="1270">2*$AK94*BL94*$AL94/100*$AM94</f>
        <v>0</v>
      </c>
      <c r="BN94" s="447">
        <f t="shared" si="1130"/>
        <v>0</v>
      </c>
      <c r="BO94" s="446">
        <f>IFERROR(HLOOKUP(HLOOKUP(BO$17,$V$18:$AE94,COUNTA($AK$18:$AK94),FALSE),Inputs!$B$58:$H$59,2,FALSE),0)</f>
        <v>0</v>
      </c>
      <c r="BP94" s="447">
        <f t="shared" ref="BP94" si="1271">2*$AK94*BO94*$AL94/100*$AM94</f>
        <v>0</v>
      </c>
      <c r="BQ94" s="447">
        <f t="shared" si="1132"/>
        <v>0</v>
      </c>
      <c r="BR94" s="54"/>
      <c r="BS94" s="103">
        <f t="shared" ca="1" si="1203"/>
        <v>8625.9190553481276</v>
      </c>
      <c r="BT94" s="103">
        <f t="shared" ca="1" si="1204"/>
        <v>6917.8077244745045</v>
      </c>
      <c r="BU94" s="103">
        <f t="shared" si="1205"/>
        <v>1160.9341895803186</v>
      </c>
      <c r="BV94" s="103">
        <f t="shared" si="1206"/>
        <v>0</v>
      </c>
      <c r="BW94" s="152">
        <f t="shared" ca="1" si="1207"/>
        <v>16704.66096940295</v>
      </c>
      <c r="BX94" s="441"/>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188">
        <f t="shared" si="1133"/>
        <v>4.3199999999999985</v>
      </c>
      <c r="DE94" s="188">
        <f t="shared" si="1134"/>
        <v>2.1499999999999995</v>
      </c>
      <c r="DF94" s="188">
        <f t="shared" si="1135"/>
        <v>1.8499999999999996</v>
      </c>
      <c r="DG94" s="188">
        <f t="shared" si="1136"/>
        <v>1.5499999999999998</v>
      </c>
      <c r="DH94" s="188">
        <f t="shared" si="1137"/>
        <v>1.0699999999999994</v>
      </c>
      <c r="DI94" s="188">
        <f t="shared" si="1138"/>
        <v>0.59999999999999964</v>
      </c>
      <c r="DJ94" s="188">
        <f t="shared" si="1139"/>
        <v>-0.20000000000000018</v>
      </c>
      <c r="DK94" s="188">
        <f t="shared" si="1140"/>
        <v>-0.3</v>
      </c>
      <c r="DL94" s="188">
        <f t="shared" si="1141"/>
        <v>-0.3</v>
      </c>
      <c r="DM94" s="188">
        <f t="shared" si="1142"/>
        <v>-0.3</v>
      </c>
      <c r="DN94" s="189">
        <f t="shared" si="1143"/>
        <v>4.669999999999999</v>
      </c>
      <c r="DO94" s="189">
        <f t="shared" si="1144"/>
        <v>2.5</v>
      </c>
      <c r="DP94" s="189">
        <f t="shared" si="1145"/>
        <v>2.2000000000000002</v>
      </c>
      <c r="DQ94" s="189">
        <f t="shared" si="1146"/>
        <v>1.9000000000000004</v>
      </c>
      <c r="DR94" s="189">
        <f t="shared" si="1147"/>
        <v>1.42</v>
      </c>
      <c r="DS94" s="189">
        <f t="shared" si="1148"/>
        <v>0.95000000000000018</v>
      </c>
      <c r="DT94" s="189">
        <f t="shared" si="1149"/>
        <v>0.15000000000000036</v>
      </c>
      <c r="DU94" s="189">
        <f t="shared" si="1150"/>
        <v>0</v>
      </c>
      <c r="DV94" s="189">
        <f t="shared" si="1151"/>
        <v>0</v>
      </c>
      <c r="DW94" s="189">
        <f t="shared" si="1152"/>
        <v>0</v>
      </c>
      <c r="DX94" s="54"/>
      <c r="DY94" s="54"/>
      <c r="DZ94" s="199">
        <f t="shared" ca="1" si="1055"/>
        <v>191901.34989548157</v>
      </c>
      <c r="EA94" s="200">
        <f t="shared" si="1153"/>
        <v>1</v>
      </c>
      <c r="EB94" s="201">
        <f t="shared" ca="1" si="1056"/>
        <v>119744.47128786275</v>
      </c>
      <c r="EC94" s="200">
        <f t="shared" si="1154"/>
        <v>1</v>
      </c>
      <c r="ED94" s="201" cm="1">
        <f t="array" ref="ED94">IF(LEFT($AG94,3)="Res",IF(OR($DN94&gt;External_Threshold,$DD94&gt;0),1*Uplift*AWE*(External),0),0)</f>
        <v>15481.186685962373</v>
      </c>
      <c r="EE94" s="200">
        <f t="shared" si="1155"/>
        <v>1</v>
      </c>
      <c r="EF94" s="201">
        <f t="shared" si="1057"/>
        <v>0</v>
      </c>
      <c r="EG94" s="203">
        <f t="shared" si="1156"/>
        <v>0</v>
      </c>
      <c r="EH94" s="199">
        <f t="shared" ca="1" si="1058"/>
        <v>150440.66779224956</v>
      </c>
      <c r="EI94" s="200">
        <f t="shared" si="1059"/>
        <v>1</v>
      </c>
      <c r="EJ94" s="201">
        <f t="shared" ca="1" si="1060"/>
        <v>117948.16748261852</v>
      </c>
      <c r="EK94" s="200">
        <f t="shared" si="1061"/>
        <v>1</v>
      </c>
      <c r="EL94" s="201" cm="1">
        <f t="array" ref="EL94">IF(LEFT($AG94,3)="Res",IF(OR($DO94&gt;External_Threshold,$DE94&gt;0),1*Uplift*AWE*(External),0),0)</f>
        <v>15481.186685962373</v>
      </c>
      <c r="EM94" s="200">
        <f t="shared" si="1062"/>
        <v>1</v>
      </c>
      <c r="EN94" s="201">
        <f t="shared" si="1063"/>
        <v>0</v>
      </c>
      <c r="EO94" s="203">
        <f t="shared" si="1157"/>
        <v>0</v>
      </c>
      <c r="EP94" s="199">
        <f t="shared" ca="1" si="1064"/>
        <v>139575.97097604119</v>
      </c>
      <c r="EQ94" s="200">
        <f t="shared" si="1065"/>
        <v>1</v>
      </c>
      <c r="ER94" s="201">
        <f t="shared" ca="1" si="1066"/>
        <v>116408.47850669488</v>
      </c>
      <c r="ES94" s="200">
        <f t="shared" si="1067"/>
        <v>1</v>
      </c>
      <c r="ET94" s="201" cm="1">
        <f t="array" ref="ET94">IF(LEFT($AG94,3)="Res",IF(OR($DP94&gt;External_Threshold,$DF94&gt;0),1*Uplift*AWE*(External),0),0)</f>
        <v>15481.186685962373</v>
      </c>
      <c r="EU94" s="200">
        <f t="shared" si="1068"/>
        <v>1</v>
      </c>
      <c r="EV94" s="201">
        <f t="shared" si="1069"/>
        <v>0</v>
      </c>
      <c r="EW94" s="203">
        <f t="shared" si="1158"/>
        <v>0</v>
      </c>
      <c r="EX94" s="199">
        <f t="shared" ca="1" si="1070"/>
        <v>136079.28694323849</v>
      </c>
      <c r="EY94" s="200">
        <f t="shared" si="1071"/>
        <v>1</v>
      </c>
      <c r="EZ94" s="201">
        <f t="shared" ca="1" si="1072"/>
        <v>112578.74055311857</v>
      </c>
      <c r="FA94" s="200">
        <f t="shared" si="1073"/>
        <v>1</v>
      </c>
      <c r="FB94" s="201" cm="1">
        <f t="array" ref="FB94">IF(LEFT($AG94,3)="Res",IF(OR($DQ94&gt;External_Threshold,$DG94&gt;0),1*Uplift*AWE*(External),0),0)</f>
        <v>15481.186685962373</v>
      </c>
      <c r="FC94" s="200">
        <f t="shared" si="1074"/>
        <v>1</v>
      </c>
      <c r="FD94" s="201">
        <f t="shared" si="1075"/>
        <v>0</v>
      </c>
      <c r="FE94" s="203">
        <f t="shared" si="1159"/>
        <v>0</v>
      </c>
      <c r="FF94" s="199">
        <f t="shared" ca="1" si="1076"/>
        <v>111893.88904968646</v>
      </c>
      <c r="FG94" s="200">
        <f t="shared" si="1077"/>
        <v>1</v>
      </c>
      <c r="FH94" s="201">
        <f t="shared" ca="1" si="1078"/>
        <v>104287.46981578077</v>
      </c>
      <c r="FI94" s="200">
        <f t="shared" si="1079"/>
        <v>1</v>
      </c>
      <c r="FJ94" s="201" cm="1">
        <f t="array" ref="FJ94">IF(LEFT($AG94,3)="Res",IF(OR($DR94&gt;External_Threshold,$DH94&gt;0),1*Uplift*AWE*(External),0),0)</f>
        <v>15481.186685962373</v>
      </c>
      <c r="FK94" s="200">
        <f t="shared" si="1080"/>
        <v>1</v>
      </c>
      <c r="FL94" s="201">
        <f t="shared" si="1081"/>
        <v>0</v>
      </c>
      <c r="FM94" s="203">
        <f t="shared" si="1160"/>
        <v>0</v>
      </c>
      <c r="FN94" s="199">
        <f t="shared" ca="1" si="1082"/>
        <v>101778.48166907862</v>
      </c>
      <c r="FO94" s="200">
        <f t="shared" si="1083"/>
        <v>1</v>
      </c>
      <c r="FP94" s="201">
        <f t="shared" ca="1" si="1084"/>
        <v>77716.435829579088</v>
      </c>
      <c r="FQ94" s="200">
        <f t="shared" si="1085"/>
        <v>1</v>
      </c>
      <c r="FR94" s="201" cm="1">
        <f t="array" ref="FR94">IF(LEFT($AG94,3)="Res",IF(OR($DS94&gt;External_Threshold,$DI94&gt;0),1*Uplift*AWE*(External),0),0)</f>
        <v>15481.186685962373</v>
      </c>
      <c r="FS94" s="200">
        <f t="shared" si="1086"/>
        <v>1</v>
      </c>
      <c r="FT94" s="201">
        <f t="shared" si="1087"/>
        <v>0</v>
      </c>
      <c r="FU94" s="203">
        <f t="shared" si="1161"/>
        <v>0</v>
      </c>
      <c r="FV94" s="199">
        <f t="shared" ca="1" si="1088"/>
        <v>2289.4954976684348</v>
      </c>
      <c r="FW94" s="200">
        <f t="shared" si="1089"/>
        <v>0</v>
      </c>
      <c r="FX94" s="201">
        <f t="shared" ca="1" si="1090"/>
        <v>0</v>
      </c>
      <c r="FY94" s="200">
        <f t="shared" si="1091"/>
        <v>0</v>
      </c>
      <c r="FZ94" s="201" cm="1">
        <f t="array" ref="FZ94">IF(LEFT($AG94,3)="Res",IF(OR($DT94&gt;External_Threshold,$DJ94&gt;0),1*Uplift*AWE*(External),0),0)</f>
        <v>0</v>
      </c>
      <c r="GA94" s="200">
        <f t="shared" si="1092"/>
        <v>1</v>
      </c>
      <c r="GB94" s="201">
        <f t="shared" si="1093"/>
        <v>0</v>
      </c>
      <c r="GC94" s="203">
        <f t="shared" si="1162"/>
        <v>0</v>
      </c>
      <c r="GD94" s="199">
        <f t="shared" ca="1" si="1094"/>
        <v>0</v>
      </c>
      <c r="GE94" s="200">
        <f t="shared" si="1095"/>
        <v>0</v>
      </c>
      <c r="GF94" s="201">
        <f t="shared" ca="1" si="1096"/>
        <v>0</v>
      </c>
      <c r="GG94" s="200">
        <f t="shared" si="1097"/>
        <v>0</v>
      </c>
      <c r="GH94" s="201" cm="1">
        <f t="array" ref="GH94">IF(LEFT($AG94,3)="Res",IF(OR($DU94&gt;External_Threshold,$DK94&gt;0),1*Uplift*AWE*(External),0),0)</f>
        <v>0</v>
      </c>
      <c r="GI94" s="200">
        <f t="shared" si="1098"/>
        <v>0</v>
      </c>
      <c r="GJ94" s="201">
        <f t="shared" si="1099"/>
        <v>0</v>
      </c>
      <c r="GK94" s="203">
        <f t="shared" si="1163"/>
        <v>0</v>
      </c>
      <c r="GL94" s="199">
        <f t="shared" ca="1" si="1100"/>
        <v>0</v>
      </c>
      <c r="GM94" s="200">
        <f t="shared" si="1101"/>
        <v>0</v>
      </c>
      <c r="GN94" s="201">
        <f t="shared" ca="1" si="1102"/>
        <v>0</v>
      </c>
      <c r="GO94" s="200">
        <f t="shared" si="1103"/>
        <v>0</v>
      </c>
      <c r="GP94" s="201" cm="1">
        <f t="array" ref="GP94">IF(LEFT($AG94,3)="Res",IF(OR($DV94&gt;External_Threshold,$DL94&gt;0),1*Uplift*AWE*(External),0),0)</f>
        <v>0</v>
      </c>
      <c r="GQ94" s="200">
        <f t="shared" si="1104"/>
        <v>0</v>
      </c>
      <c r="GR94" s="201">
        <f t="shared" si="1105"/>
        <v>0</v>
      </c>
      <c r="GS94" s="203">
        <f t="shared" si="1164"/>
        <v>0</v>
      </c>
      <c r="GT94" s="199">
        <f t="shared" ca="1" si="1106"/>
        <v>0</v>
      </c>
      <c r="GU94" s="200">
        <f t="shared" si="1107"/>
        <v>0</v>
      </c>
      <c r="GV94" s="201">
        <f t="shared" ca="1" si="1108"/>
        <v>0</v>
      </c>
      <c r="GW94" s="200">
        <f t="shared" si="1109"/>
        <v>0</v>
      </c>
      <c r="GX94" s="201" cm="1">
        <f t="array" ref="GX94">IF(LEFT($AG94,3)="Res",IF(OR($DW94&gt;External_Threshold,$DM94&gt;0),1*Uplift*AWE*(External),0),0)</f>
        <v>0</v>
      </c>
      <c r="GY94" s="200">
        <f t="shared" si="1110"/>
        <v>0</v>
      </c>
      <c r="GZ94" s="201">
        <f t="shared" si="1111"/>
        <v>0</v>
      </c>
      <c r="HA94" s="203">
        <f t="shared" si="1165"/>
        <v>0</v>
      </c>
      <c r="HB94" s="54"/>
      <c r="HC94" s="54"/>
      <c r="HD94" s="54"/>
      <c r="HE94" s="54"/>
      <c r="HF94" s="54"/>
      <c r="HG94" s="201">
        <f t="shared" ca="1" si="1166"/>
        <v>327127.00786930672</v>
      </c>
      <c r="HH94" s="201">
        <f t="shared" ca="1" si="1167"/>
        <v>283870.02196083043</v>
      </c>
      <c r="HI94" s="201">
        <f t="shared" ca="1" si="1168"/>
        <v>271465.63616869843</v>
      </c>
      <c r="HJ94" s="201">
        <f t="shared" ca="1" si="1169"/>
        <v>264139.21418231941</v>
      </c>
      <c r="HK94" s="201">
        <f t="shared" ca="1" si="1170"/>
        <v>231662.54555142962</v>
      </c>
      <c r="HL94" s="201">
        <f t="shared" ca="1" si="1171"/>
        <v>194976.10418462008</v>
      </c>
      <c r="HM94" s="201">
        <f t="shared" ca="1" si="1172"/>
        <v>2289.4954976684348</v>
      </c>
      <c r="HN94" s="201">
        <f t="shared" ca="1" si="1173"/>
        <v>0</v>
      </c>
      <c r="HO94" s="201">
        <f t="shared" ca="1" si="1174"/>
        <v>0</v>
      </c>
      <c r="HP94" s="201">
        <f t="shared" ca="1" si="1175"/>
        <v>0</v>
      </c>
      <c r="HQ94" s="54"/>
    </row>
    <row r="95" spans="1:225" x14ac:dyDescent="0.3">
      <c r="A95" s="513">
        <v>77</v>
      </c>
      <c r="B95" s="514" t="s">
        <v>500</v>
      </c>
      <c r="C95" s="514" t="s">
        <v>390</v>
      </c>
      <c r="D95" s="514" t="s">
        <v>390</v>
      </c>
      <c r="E95" s="513">
        <v>1</v>
      </c>
      <c r="F95" s="515">
        <v>4.6900000000000004</v>
      </c>
      <c r="G95" s="515">
        <v>4.2699999999999996</v>
      </c>
      <c r="H95" s="513">
        <v>2</v>
      </c>
      <c r="I95" s="517">
        <v>1</v>
      </c>
      <c r="J95" s="518" t="s">
        <v>42</v>
      </c>
      <c r="K95" s="513">
        <f t="shared" si="1044"/>
        <v>90</v>
      </c>
      <c r="L95" s="519">
        <v>8.7199999999999989</v>
      </c>
      <c r="M95" s="519">
        <v>6.55</v>
      </c>
      <c r="N95" s="519">
        <v>6.25</v>
      </c>
      <c r="O95" s="519">
        <v>5.95</v>
      </c>
      <c r="P95" s="519">
        <v>5.47</v>
      </c>
      <c r="Q95" s="519">
        <v>5</v>
      </c>
      <c r="R95" s="519">
        <v>4.2</v>
      </c>
      <c r="S95" s="519">
        <v>0</v>
      </c>
      <c r="T95" s="519">
        <v>0</v>
      </c>
      <c r="U95" s="519">
        <v>0</v>
      </c>
      <c r="V95" s="536"/>
      <c r="W95" s="536"/>
      <c r="X95" s="536"/>
      <c r="Y95" s="536"/>
      <c r="Z95" s="536"/>
      <c r="AA95" s="536"/>
      <c r="AB95" s="536"/>
      <c r="AC95" s="536"/>
      <c r="AD95" s="536"/>
      <c r="AE95" s="536"/>
      <c r="AF95" s="54"/>
      <c r="AG95" s="204" t="str">
        <f t="shared" si="1253"/>
        <v>Res1</v>
      </c>
      <c r="AH95" s="204">
        <f t="shared" si="1112"/>
        <v>4</v>
      </c>
      <c r="AI95" s="204">
        <f t="shared" si="1045"/>
        <v>1</v>
      </c>
      <c r="AJ95" s="54"/>
      <c r="AK95" s="74">
        <f>IFERROR(IF(H95&gt;4,0,AI95*Inputs!$C$55),0)</f>
        <v>2.6</v>
      </c>
      <c r="AL95" s="81">
        <f>IFERROR(Inputs!$C$73,0)</f>
        <v>5</v>
      </c>
      <c r="AM95" s="211">
        <f>IFERROR(Inputs!$C$74,0)</f>
        <v>0.24299999999999999</v>
      </c>
      <c r="AN95" s="446">
        <f>IFERROR(HLOOKUP(HLOOKUP(AN$17,$V$18:$AE95,COUNTA($AK$18:$AK95),FALSE),Inputs!$B$58:$H$59,2,FALSE),0)</f>
        <v>0</v>
      </c>
      <c r="AO95" s="447">
        <f t="shared" si="1113"/>
        <v>0</v>
      </c>
      <c r="AP95" s="447">
        <f t="shared" si="1114"/>
        <v>0</v>
      </c>
      <c r="AQ95" s="446">
        <f>IFERROR(HLOOKUP(HLOOKUP(AQ$17,$V$18:$AE95,COUNTA($AK$18:$AK95),FALSE),Inputs!$B$58:$H$59,2,FALSE),0)</f>
        <v>0</v>
      </c>
      <c r="AR95" s="447">
        <f t="shared" ref="AR95" si="1272">2*$AK95*AQ95*$AL95/100*$AM95</f>
        <v>0</v>
      </c>
      <c r="AS95" s="447">
        <f t="shared" si="1116"/>
        <v>0</v>
      </c>
      <c r="AT95" s="446">
        <f>IFERROR(HLOOKUP(HLOOKUP(AT$17,$V$18:$AE95,COUNTA($AK$18:$AK95),FALSE),Inputs!$B$58:$H$59,2,FALSE),0)</f>
        <v>0</v>
      </c>
      <c r="AU95" s="447">
        <f t="shared" ref="AU95" si="1273">2*$AK95*AT95*$AL95/100*$AM95</f>
        <v>0</v>
      </c>
      <c r="AV95" s="447">
        <f t="shared" si="1118"/>
        <v>0</v>
      </c>
      <c r="AW95" s="446">
        <f>IFERROR(HLOOKUP(HLOOKUP(AW$17,$V$18:$AE95,COUNTA($AK$18:$AK95),FALSE),Inputs!$B$58:$H$59,2,FALSE),0)</f>
        <v>0</v>
      </c>
      <c r="AX95" s="447">
        <f t="shared" ref="AX95" si="1274">2*$AK95*AW95*$AL95/100*$AM95</f>
        <v>0</v>
      </c>
      <c r="AY95" s="447">
        <f t="shared" si="1120"/>
        <v>0</v>
      </c>
      <c r="AZ95" s="446">
        <f>IFERROR(HLOOKUP(HLOOKUP(AZ$17,$V$18:$AE95,COUNTA($AK$18:$AK95),FALSE),Inputs!$B$58:$H$59,2,FALSE),0)</f>
        <v>0</v>
      </c>
      <c r="BA95" s="447">
        <f t="shared" ref="BA95" si="1275">2*$AK95*AZ95*$AL95/100*$AM95</f>
        <v>0</v>
      </c>
      <c r="BB95" s="447">
        <f t="shared" si="1122"/>
        <v>0</v>
      </c>
      <c r="BC95" s="446">
        <f>IFERROR(HLOOKUP(HLOOKUP(BC$17,$V$18:$AE95,COUNTA($AK$18:$AK95),FALSE),Inputs!$B$58:$H$59,2,FALSE),0)</f>
        <v>0</v>
      </c>
      <c r="BD95" s="447">
        <f t="shared" ref="BD95" si="1276">2*$AK95*BC95*$AL95/100*$AM95</f>
        <v>0</v>
      </c>
      <c r="BE95" s="447">
        <f t="shared" si="1124"/>
        <v>0</v>
      </c>
      <c r="BF95" s="446">
        <f>IFERROR(HLOOKUP(HLOOKUP(BF$17,$V$18:$AE95,COUNTA($AK$18:$AK95),FALSE),Inputs!$B$58:$H$59,2,FALSE),0)</f>
        <v>0</v>
      </c>
      <c r="BG95" s="447">
        <f t="shared" ref="BG95" si="1277">2*$AK95*BF95*$AL95/100*$AM95</f>
        <v>0</v>
      </c>
      <c r="BH95" s="447">
        <f t="shared" si="1126"/>
        <v>0</v>
      </c>
      <c r="BI95" s="446">
        <f>IFERROR(HLOOKUP(HLOOKUP(BI$17,$V$18:$AE95,COUNTA($AK$18:$AK95),FALSE),Inputs!$B$58:$H$59,2,FALSE),0)</f>
        <v>0</v>
      </c>
      <c r="BJ95" s="447">
        <f t="shared" ref="BJ95" si="1278">2*$AK95*BI95*$AL95/100*$AM95</f>
        <v>0</v>
      </c>
      <c r="BK95" s="447">
        <f t="shared" si="1128"/>
        <v>0</v>
      </c>
      <c r="BL95" s="446">
        <f>IFERROR(HLOOKUP(HLOOKUP(BL$17,$V$18:$AE95,COUNTA($AK$18:$AK95),FALSE),Inputs!$B$58:$H$59,2,FALSE),0)</f>
        <v>0</v>
      </c>
      <c r="BM95" s="447">
        <f t="shared" ref="BM95" si="1279">2*$AK95*BL95*$AL95/100*$AM95</f>
        <v>0</v>
      </c>
      <c r="BN95" s="447">
        <f t="shared" si="1130"/>
        <v>0</v>
      </c>
      <c r="BO95" s="446">
        <f>IFERROR(HLOOKUP(HLOOKUP(BO$17,$V$18:$AE95,COUNTA($AK$18:$AK95),FALSE),Inputs!$B$58:$H$59,2,FALSE),0)</f>
        <v>0</v>
      </c>
      <c r="BP95" s="447">
        <f t="shared" ref="BP95" si="1280">2*$AK95*BO95*$AL95/100*$AM95</f>
        <v>0</v>
      </c>
      <c r="BQ95" s="447">
        <f t="shared" si="1132"/>
        <v>0</v>
      </c>
      <c r="BR95" s="54"/>
      <c r="BS95" s="103">
        <f t="shared" ca="1" si="1203"/>
        <v>3316.9457034243856</v>
      </c>
      <c r="BT95" s="103">
        <f t="shared" ca="1" si="1204"/>
        <v>2850.9943575755865</v>
      </c>
      <c r="BU95" s="103">
        <f t="shared" si="1205"/>
        <v>1160.9341895803186</v>
      </c>
      <c r="BV95" s="103">
        <f t="shared" si="1206"/>
        <v>0</v>
      </c>
      <c r="BW95" s="152">
        <f t="shared" ca="1" si="1207"/>
        <v>7328.8742505802911</v>
      </c>
      <c r="BX95" s="441"/>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188">
        <f t="shared" si="1133"/>
        <v>4.0299999999999985</v>
      </c>
      <c r="DE95" s="188">
        <f t="shared" si="1134"/>
        <v>1.8599999999999994</v>
      </c>
      <c r="DF95" s="188">
        <f t="shared" si="1135"/>
        <v>1.5599999999999996</v>
      </c>
      <c r="DG95" s="188">
        <f t="shared" si="1136"/>
        <v>1.2599999999999998</v>
      </c>
      <c r="DH95" s="188">
        <f t="shared" si="1137"/>
        <v>0.77999999999999936</v>
      </c>
      <c r="DI95" s="188">
        <f t="shared" si="1138"/>
        <v>0.30999999999999961</v>
      </c>
      <c r="DJ95" s="188">
        <f t="shared" si="1139"/>
        <v>-0.3</v>
      </c>
      <c r="DK95" s="188">
        <f t="shared" si="1140"/>
        <v>-0.3</v>
      </c>
      <c r="DL95" s="188">
        <f t="shared" si="1141"/>
        <v>-0.3</v>
      </c>
      <c r="DM95" s="188">
        <f t="shared" si="1142"/>
        <v>-0.3</v>
      </c>
      <c r="DN95" s="189">
        <f t="shared" si="1143"/>
        <v>4.4499999999999993</v>
      </c>
      <c r="DO95" s="189">
        <f t="shared" si="1144"/>
        <v>2.2800000000000002</v>
      </c>
      <c r="DP95" s="189">
        <f t="shared" si="1145"/>
        <v>1.9800000000000004</v>
      </c>
      <c r="DQ95" s="189">
        <f t="shared" si="1146"/>
        <v>1.6800000000000006</v>
      </c>
      <c r="DR95" s="189">
        <f t="shared" si="1147"/>
        <v>1.2000000000000002</v>
      </c>
      <c r="DS95" s="189">
        <f t="shared" si="1148"/>
        <v>0.73000000000000043</v>
      </c>
      <c r="DT95" s="189">
        <f t="shared" si="1149"/>
        <v>0</v>
      </c>
      <c r="DU95" s="189">
        <f t="shared" si="1150"/>
        <v>0</v>
      </c>
      <c r="DV95" s="189">
        <f t="shared" si="1151"/>
        <v>0</v>
      </c>
      <c r="DW95" s="189">
        <f t="shared" si="1152"/>
        <v>0</v>
      </c>
      <c r="DX95" s="54"/>
      <c r="DY95" s="54"/>
      <c r="DZ95" s="199">
        <f t="shared" ca="1" si="1055"/>
        <v>78505.097684515204</v>
      </c>
      <c r="EA95" s="200">
        <f t="shared" si="1153"/>
        <v>1</v>
      </c>
      <c r="EB95" s="201">
        <f t="shared" ca="1" si="1056"/>
        <v>58677.283708671122</v>
      </c>
      <c r="EC95" s="200">
        <f t="shared" si="1154"/>
        <v>1</v>
      </c>
      <c r="ED95" s="201" cm="1">
        <f t="array" ref="ED95">IF(LEFT($AG95,3)="Res",IF(OR($DN95&gt;External_Threshold,$DD95&gt;0),1*Uplift*AWE*(External),0),0)</f>
        <v>15481.186685962373</v>
      </c>
      <c r="EE95" s="200">
        <f t="shared" si="1155"/>
        <v>1</v>
      </c>
      <c r="EF95" s="201">
        <f t="shared" si="1057"/>
        <v>0</v>
      </c>
      <c r="EG95" s="203">
        <f t="shared" si="1156"/>
        <v>0</v>
      </c>
      <c r="EH95" s="199">
        <f t="shared" ca="1" si="1058"/>
        <v>57099.260853835025</v>
      </c>
      <c r="EI95" s="200">
        <f t="shared" si="1059"/>
        <v>1</v>
      </c>
      <c r="EJ95" s="201">
        <f t="shared" ca="1" si="1060"/>
        <v>57312.559389102455</v>
      </c>
      <c r="EK95" s="200">
        <f t="shared" si="1061"/>
        <v>1</v>
      </c>
      <c r="EL95" s="201" cm="1">
        <f t="array" ref="EL95">IF(LEFT($AG95,3)="Res",IF(OR($DO95&gt;External_Threshold,$DE95&gt;0),1*Uplift*AWE*(External),0),0)</f>
        <v>15481.186685962373</v>
      </c>
      <c r="EM95" s="200">
        <f t="shared" si="1062"/>
        <v>1</v>
      </c>
      <c r="EN95" s="201">
        <f t="shared" si="1063"/>
        <v>0</v>
      </c>
      <c r="EO95" s="203">
        <f t="shared" si="1157"/>
        <v>0</v>
      </c>
      <c r="EP95" s="199">
        <f t="shared" ca="1" si="1064"/>
        <v>55668.799204052113</v>
      </c>
      <c r="EQ95" s="200">
        <f t="shared" si="1065"/>
        <v>1</v>
      </c>
      <c r="ER95" s="201">
        <f t="shared" ca="1" si="1066"/>
        <v>55745.84840809396</v>
      </c>
      <c r="ES95" s="200">
        <f t="shared" si="1067"/>
        <v>1</v>
      </c>
      <c r="ET95" s="201" cm="1">
        <f t="array" ref="ET95">IF(LEFT($AG95,3)="Res",IF(OR($DP95&gt;External_Threshold,$DF95&gt;0),1*Uplift*AWE*(External),0),0)</f>
        <v>15481.186685962373</v>
      </c>
      <c r="EU95" s="200">
        <f t="shared" si="1068"/>
        <v>1</v>
      </c>
      <c r="EV95" s="201">
        <f t="shared" si="1069"/>
        <v>0</v>
      </c>
      <c r="EW95" s="203">
        <f t="shared" si="1158"/>
        <v>0</v>
      </c>
      <c r="EX95" s="199">
        <f t="shared" ca="1" si="1070"/>
        <v>50066.157742402327</v>
      </c>
      <c r="EY95" s="200">
        <f t="shared" si="1071"/>
        <v>1</v>
      </c>
      <c r="EZ95" s="201">
        <f t="shared" ca="1" si="1072"/>
        <v>53710.718318020132</v>
      </c>
      <c r="FA95" s="200">
        <f t="shared" si="1073"/>
        <v>1</v>
      </c>
      <c r="FB95" s="201" cm="1">
        <f t="array" ref="FB95">IF(LEFT($AG95,3)="Res",IF(OR($DQ95&gt;External_Threshold,$DG95&gt;0),1*Uplift*AWE*(External),0),0)</f>
        <v>15481.186685962373</v>
      </c>
      <c r="FC95" s="200">
        <f t="shared" si="1074"/>
        <v>1</v>
      </c>
      <c r="FD95" s="201">
        <f t="shared" si="1075"/>
        <v>0</v>
      </c>
      <c r="FE95" s="203">
        <f t="shared" si="1159"/>
        <v>0</v>
      </c>
      <c r="FF95" s="199">
        <f t="shared" ca="1" si="1076"/>
        <v>43169.289073806081</v>
      </c>
      <c r="FG95" s="200">
        <f t="shared" si="1077"/>
        <v>1</v>
      </c>
      <c r="FH95" s="201">
        <f t="shared" ca="1" si="1078"/>
        <v>42844.516396144296</v>
      </c>
      <c r="FI95" s="200">
        <f t="shared" si="1079"/>
        <v>1</v>
      </c>
      <c r="FJ95" s="201" cm="1">
        <f t="array" ref="FJ95">IF(LEFT($AG95,3)="Res",IF(OR($DR95&gt;External_Threshold,$DH95&gt;0),1*Uplift*AWE*(External),0),0)</f>
        <v>15481.186685962373</v>
      </c>
      <c r="FK95" s="200">
        <f t="shared" si="1080"/>
        <v>1</v>
      </c>
      <c r="FL95" s="201">
        <f t="shared" si="1081"/>
        <v>0</v>
      </c>
      <c r="FM95" s="203">
        <f t="shared" si="1160"/>
        <v>0</v>
      </c>
      <c r="FN95" s="199">
        <f t="shared" ca="1" si="1082"/>
        <v>40870.332850940664</v>
      </c>
      <c r="FO95" s="200">
        <f t="shared" si="1083"/>
        <v>1</v>
      </c>
      <c r="FP95" s="201">
        <f t="shared" ca="1" si="1084"/>
        <v>29172.78789173087</v>
      </c>
      <c r="FQ95" s="200">
        <f t="shared" si="1085"/>
        <v>1</v>
      </c>
      <c r="FR95" s="201" cm="1">
        <f t="array" ref="FR95">IF(LEFT($AG95,3)="Res",IF(OR($DS95&gt;External_Threshold,$DI95&gt;0),1*Uplift*AWE*(External),0),0)</f>
        <v>15481.186685962373</v>
      </c>
      <c r="FS95" s="200">
        <f t="shared" si="1086"/>
        <v>1</v>
      </c>
      <c r="FT95" s="201">
        <f t="shared" si="1087"/>
        <v>0</v>
      </c>
      <c r="FU95" s="203">
        <f t="shared" si="1161"/>
        <v>0</v>
      </c>
      <c r="FV95" s="199">
        <f t="shared" ca="1" si="1088"/>
        <v>0</v>
      </c>
      <c r="FW95" s="200">
        <f t="shared" si="1089"/>
        <v>0</v>
      </c>
      <c r="FX95" s="201">
        <f t="shared" ca="1" si="1090"/>
        <v>0</v>
      </c>
      <c r="FY95" s="200">
        <f t="shared" si="1091"/>
        <v>0</v>
      </c>
      <c r="FZ95" s="201" cm="1">
        <f t="array" ref="FZ95">IF(LEFT($AG95,3)="Res",IF(OR($DT95&gt;External_Threshold,$DJ95&gt;0),1*Uplift*AWE*(External),0),0)</f>
        <v>0</v>
      </c>
      <c r="GA95" s="200">
        <f t="shared" si="1092"/>
        <v>0</v>
      </c>
      <c r="GB95" s="201">
        <f t="shared" si="1093"/>
        <v>0</v>
      </c>
      <c r="GC95" s="203">
        <f t="shared" si="1162"/>
        <v>0</v>
      </c>
      <c r="GD95" s="199">
        <f t="shared" ca="1" si="1094"/>
        <v>0</v>
      </c>
      <c r="GE95" s="200">
        <f t="shared" si="1095"/>
        <v>0</v>
      </c>
      <c r="GF95" s="201">
        <f t="shared" ca="1" si="1096"/>
        <v>0</v>
      </c>
      <c r="GG95" s="200">
        <f t="shared" si="1097"/>
        <v>0</v>
      </c>
      <c r="GH95" s="201" cm="1">
        <f t="array" ref="GH95">IF(LEFT($AG95,3)="Res",IF(OR($DU95&gt;External_Threshold,$DK95&gt;0),1*Uplift*AWE*(External),0),0)</f>
        <v>0</v>
      </c>
      <c r="GI95" s="200">
        <f t="shared" si="1098"/>
        <v>0</v>
      </c>
      <c r="GJ95" s="201">
        <f t="shared" si="1099"/>
        <v>0</v>
      </c>
      <c r="GK95" s="203">
        <f t="shared" si="1163"/>
        <v>0</v>
      </c>
      <c r="GL95" s="199">
        <f t="shared" ca="1" si="1100"/>
        <v>0</v>
      </c>
      <c r="GM95" s="200">
        <f t="shared" si="1101"/>
        <v>0</v>
      </c>
      <c r="GN95" s="201">
        <f t="shared" ca="1" si="1102"/>
        <v>0</v>
      </c>
      <c r="GO95" s="200">
        <f t="shared" si="1103"/>
        <v>0</v>
      </c>
      <c r="GP95" s="201" cm="1">
        <f t="array" ref="GP95">IF(LEFT($AG95,3)="Res",IF(OR($DV95&gt;External_Threshold,$DL95&gt;0),1*Uplift*AWE*(External),0),0)</f>
        <v>0</v>
      </c>
      <c r="GQ95" s="200">
        <f t="shared" si="1104"/>
        <v>0</v>
      </c>
      <c r="GR95" s="201">
        <f t="shared" si="1105"/>
        <v>0</v>
      </c>
      <c r="GS95" s="203">
        <f t="shared" si="1164"/>
        <v>0</v>
      </c>
      <c r="GT95" s="199">
        <f t="shared" ca="1" si="1106"/>
        <v>0</v>
      </c>
      <c r="GU95" s="200">
        <f t="shared" si="1107"/>
        <v>0</v>
      </c>
      <c r="GV95" s="201">
        <f t="shared" ca="1" si="1108"/>
        <v>0</v>
      </c>
      <c r="GW95" s="200">
        <f t="shared" si="1109"/>
        <v>0</v>
      </c>
      <c r="GX95" s="201" cm="1">
        <f t="array" ref="GX95">IF(LEFT($AG95,3)="Res",IF(OR($DW95&gt;External_Threshold,$DM95&gt;0),1*Uplift*AWE*(External),0),0)</f>
        <v>0</v>
      </c>
      <c r="GY95" s="200">
        <f t="shared" si="1110"/>
        <v>0</v>
      </c>
      <c r="GZ95" s="201">
        <f t="shared" si="1111"/>
        <v>0</v>
      </c>
      <c r="HA95" s="203">
        <f t="shared" si="1165"/>
        <v>0</v>
      </c>
      <c r="HB95" s="54"/>
      <c r="HC95" s="54"/>
      <c r="HD95" s="54"/>
      <c r="HE95" s="54"/>
      <c r="HF95" s="54"/>
      <c r="HG95" s="201">
        <f t="shared" ca="1" si="1166"/>
        <v>152663.56807914871</v>
      </c>
      <c r="HH95" s="201">
        <f t="shared" ca="1" si="1167"/>
        <v>129893.00692889985</v>
      </c>
      <c r="HI95" s="201">
        <f t="shared" ca="1" si="1168"/>
        <v>126895.83429810844</v>
      </c>
      <c r="HJ95" s="201">
        <f t="shared" ca="1" si="1169"/>
        <v>119258.06274638482</v>
      </c>
      <c r="HK95" s="201">
        <f t="shared" ca="1" si="1170"/>
        <v>101494.99215591274</v>
      </c>
      <c r="HL95" s="201">
        <f t="shared" ca="1" si="1171"/>
        <v>85524.307428633911</v>
      </c>
      <c r="HM95" s="201">
        <f t="shared" ca="1" si="1172"/>
        <v>0</v>
      </c>
      <c r="HN95" s="201">
        <f t="shared" ca="1" si="1173"/>
        <v>0</v>
      </c>
      <c r="HO95" s="201">
        <f t="shared" ca="1" si="1174"/>
        <v>0</v>
      </c>
      <c r="HP95" s="201">
        <f t="shared" ca="1" si="1175"/>
        <v>0</v>
      </c>
      <c r="HQ95" s="54"/>
    </row>
    <row r="96" spans="1:225" x14ac:dyDescent="0.3">
      <c r="A96" s="513">
        <v>78</v>
      </c>
      <c r="B96" s="514" t="s">
        <v>501</v>
      </c>
      <c r="C96" s="514" t="s">
        <v>390</v>
      </c>
      <c r="D96" s="514" t="s">
        <v>390</v>
      </c>
      <c r="E96" s="513">
        <v>1</v>
      </c>
      <c r="F96" s="515">
        <v>4.1900000000000004</v>
      </c>
      <c r="G96" s="515">
        <v>4.09</v>
      </c>
      <c r="H96" s="513">
        <v>2</v>
      </c>
      <c r="I96" s="517">
        <v>1</v>
      </c>
      <c r="J96" s="518" t="s">
        <v>43</v>
      </c>
      <c r="K96" s="513">
        <f t="shared" si="1044"/>
        <v>180</v>
      </c>
      <c r="L96" s="519">
        <v>8.8999999999999986</v>
      </c>
      <c r="M96" s="519">
        <v>6.5299999999999994</v>
      </c>
      <c r="N96" s="519">
        <v>6.2299999999999995</v>
      </c>
      <c r="O96" s="519">
        <v>5.93</v>
      </c>
      <c r="P96" s="519">
        <v>5.47</v>
      </c>
      <c r="Q96" s="519">
        <v>5</v>
      </c>
      <c r="R96" s="519">
        <v>4.2</v>
      </c>
      <c r="S96" s="519">
        <v>0</v>
      </c>
      <c r="T96" s="519">
        <v>0</v>
      </c>
      <c r="U96" s="519">
        <v>0</v>
      </c>
      <c r="V96" s="536"/>
      <c r="W96" s="536"/>
      <c r="X96" s="536"/>
      <c r="Y96" s="536"/>
      <c r="Z96" s="536"/>
      <c r="AA96" s="536"/>
      <c r="AB96" s="536"/>
      <c r="AC96" s="536"/>
      <c r="AD96" s="536"/>
      <c r="AE96" s="536"/>
      <c r="AF96" s="54"/>
      <c r="AG96" s="204" t="str">
        <f t="shared" si="1253"/>
        <v>Res1</v>
      </c>
      <c r="AH96" s="204">
        <f t="shared" si="1112"/>
        <v>5</v>
      </c>
      <c r="AI96" s="204">
        <f t="shared" si="1045"/>
        <v>1</v>
      </c>
      <c r="AJ96" s="54"/>
      <c r="AK96" s="74">
        <f>IFERROR(IF(H96&gt;4,0,AI96*Inputs!$C$55),0)</f>
        <v>2.6</v>
      </c>
      <c r="AL96" s="81">
        <f>IFERROR(Inputs!$C$73,0)</f>
        <v>5</v>
      </c>
      <c r="AM96" s="211">
        <f>IFERROR(Inputs!$C$74,0)</f>
        <v>0.24299999999999999</v>
      </c>
      <c r="AN96" s="446">
        <f>IFERROR(HLOOKUP(HLOOKUP(AN$17,$V$18:$AE96,COUNTA($AK$18:$AK96),FALSE),Inputs!$B$58:$H$59,2,FALSE),0)</f>
        <v>0</v>
      </c>
      <c r="AO96" s="447">
        <f t="shared" si="1113"/>
        <v>0</v>
      </c>
      <c r="AP96" s="447">
        <f t="shared" si="1114"/>
        <v>0</v>
      </c>
      <c r="AQ96" s="446">
        <f>IFERROR(HLOOKUP(HLOOKUP(AQ$17,$V$18:$AE96,COUNTA($AK$18:$AK96),FALSE),Inputs!$B$58:$H$59,2,FALSE),0)</f>
        <v>0</v>
      </c>
      <c r="AR96" s="447">
        <f t="shared" ref="AR96" si="1281">2*$AK96*AQ96*$AL96/100*$AM96</f>
        <v>0</v>
      </c>
      <c r="AS96" s="447">
        <f t="shared" si="1116"/>
        <v>0</v>
      </c>
      <c r="AT96" s="446">
        <f>IFERROR(HLOOKUP(HLOOKUP(AT$17,$V$18:$AE96,COUNTA($AK$18:$AK96),FALSE),Inputs!$B$58:$H$59,2,FALSE),0)</f>
        <v>0</v>
      </c>
      <c r="AU96" s="447">
        <f t="shared" ref="AU96" si="1282">2*$AK96*AT96*$AL96/100*$AM96</f>
        <v>0</v>
      </c>
      <c r="AV96" s="447">
        <f t="shared" si="1118"/>
        <v>0</v>
      </c>
      <c r="AW96" s="446">
        <f>IFERROR(HLOOKUP(HLOOKUP(AW$17,$V$18:$AE96,COUNTA($AK$18:$AK96),FALSE),Inputs!$B$58:$H$59,2,FALSE),0)</f>
        <v>0</v>
      </c>
      <c r="AX96" s="447">
        <f t="shared" ref="AX96" si="1283">2*$AK96*AW96*$AL96/100*$AM96</f>
        <v>0</v>
      </c>
      <c r="AY96" s="447">
        <f t="shared" si="1120"/>
        <v>0</v>
      </c>
      <c r="AZ96" s="446">
        <f>IFERROR(HLOOKUP(HLOOKUP(AZ$17,$V$18:$AE96,COUNTA($AK$18:$AK96),FALSE),Inputs!$B$58:$H$59,2,FALSE),0)</f>
        <v>0</v>
      </c>
      <c r="BA96" s="447">
        <f t="shared" ref="BA96" si="1284">2*$AK96*AZ96*$AL96/100*$AM96</f>
        <v>0</v>
      </c>
      <c r="BB96" s="447">
        <f t="shared" si="1122"/>
        <v>0</v>
      </c>
      <c r="BC96" s="446">
        <f>IFERROR(HLOOKUP(HLOOKUP(BC$17,$V$18:$AE96,COUNTA($AK$18:$AK96),FALSE),Inputs!$B$58:$H$59,2,FALSE),0)</f>
        <v>0</v>
      </c>
      <c r="BD96" s="447">
        <f t="shared" ref="BD96" si="1285">2*$AK96*BC96*$AL96/100*$AM96</f>
        <v>0</v>
      </c>
      <c r="BE96" s="447">
        <f t="shared" si="1124"/>
        <v>0</v>
      </c>
      <c r="BF96" s="446">
        <f>IFERROR(HLOOKUP(HLOOKUP(BF$17,$V$18:$AE96,COUNTA($AK$18:$AK96),FALSE),Inputs!$B$58:$H$59,2,FALSE),0)</f>
        <v>0</v>
      </c>
      <c r="BG96" s="447">
        <f t="shared" ref="BG96" si="1286">2*$AK96*BF96*$AL96/100*$AM96</f>
        <v>0</v>
      </c>
      <c r="BH96" s="447">
        <f t="shared" si="1126"/>
        <v>0</v>
      </c>
      <c r="BI96" s="446">
        <f>IFERROR(HLOOKUP(HLOOKUP(BI$17,$V$18:$AE96,COUNTA($AK$18:$AK96),FALSE),Inputs!$B$58:$H$59,2,FALSE),0)</f>
        <v>0</v>
      </c>
      <c r="BJ96" s="447">
        <f t="shared" ref="BJ96" si="1287">2*$AK96*BI96*$AL96/100*$AM96</f>
        <v>0</v>
      </c>
      <c r="BK96" s="447">
        <f t="shared" si="1128"/>
        <v>0</v>
      </c>
      <c r="BL96" s="446">
        <f>IFERROR(HLOOKUP(HLOOKUP(BL$17,$V$18:$AE96,COUNTA($AK$18:$AK96),FALSE),Inputs!$B$58:$H$59,2,FALSE),0)</f>
        <v>0</v>
      </c>
      <c r="BM96" s="447">
        <f t="shared" ref="BM96" si="1288">2*$AK96*BL96*$AL96/100*$AM96</f>
        <v>0</v>
      </c>
      <c r="BN96" s="447">
        <f t="shared" si="1130"/>
        <v>0</v>
      </c>
      <c r="BO96" s="446">
        <f>IFERROR(HLOOKUP(HLOOKUP(BO$17,$V$18:$AE96,COUNTA($AK$18:$AK96),FALSE),Inputs!$B$58:$H$59,2,FALSE),0)</f>
        <v>0</v>
      </c>
      <c r="BP96" s="447">
        <f t="shared" ref="BP96" si="1289">2*$AK96*BO96*$AL96/100*$AM96</f>
        <v>0</v>
      </c>
      <c r="BQ96" s="447">
        <f t="shared" si="1132"/>
        <v>0</v>
      </c>
      <c r="BR96" s="54"/>
      <c r="BS96" s="103">
        <f t="shared" ca="1" si="1203"/>
        <v>7730.5185582344457</v>
      </c>
      <c r="BT96" s="103">
        <f t="shared" ca="1" si="1204"/>
        <v>6290.1163096263017</v>
      </c>
      <c r="BU96" s="103">
        <f t="shared" si="1205"/>
        <v>2322.023191027497</v>
      </c>
      <c r="BV96" s="103">
        <f t="shared" si="1206"/>
        <v>0</v>
      </c>
      <c r="BW96" s="152">
        <f t="shared" ca="1" si="1207"/>
        <v>16342.658058888243</v>
      </c>
      <c r="BX96" s="441"/>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188">
        <f t="shared" si="1133"/>
        <v>4.7099999999999982</v>
      </c>
      <c r="DE96" s="188">
        <f t="shared" si="1134"/>
        <v>2.339999999999999</v>
      </c>
      <c r="DF96" s="188">
        <f t="shared" si="1135"/>
        <v>2.0399999999999991</v>
      </c>
      <c r="DG96" s="188">
        <f t="shared" si="1136"/>
        <v>1.7399999999999993</v>
      </c>
      <c r="DH96" s="188">
        <f t="shared" si="1137"/>
        <v>1.2799999999999994</v>
      </c>
      <c r="DI96" s="188">
        <f t="shared" si="1138"/>
        <v>0.80999999999999961</v>
      </c>
      <c r="DJ96" s="188">
        <f t="shared" si="1139"/>
        <v>9.9999999999997868E-3</v>
      </c>
      <c r="DK96" s="188">
        <f t="shared" si="1140"/>
        <v>-0.3</v>
      </c>
      <c r="DL96" s="188">
        <f t="shared" si="1141"/>
        <v>-0.3</v>
      </c>
      <c r="DM96" s="188">
        <f t="shared" si="1142"/>
        <v>-0.3</v>
      </c>
      <c r="DN96" s="189">
        <f t="shared" si="1143"/>
        <v>4.8099999999999987</v>
      </c>
      <c r="DO96" s="189">
        <f t="shared" si="1144"/>
        <v>2.4399999999999995</v>
      </c>
      <c r="DP96" s="189">
        <f t="shared" si="1145"/>
        <v>2.1399999999999997</v>
      </c>
      <c r="DQ96" s="189">
        <f t="shared" si="1146"/>
        <v>1.8399999999999999</v>
      </c>
      <c r="DR96" s="189">
        <f t="shared" si="1147"/>
        <v>1.38</v>
      </c>
      <c r="DS96" s="189">
        <f t="shared" si="1148"/>
        <v>0.91000000000000014</v>
      </c>
      <c r="DT96" s="189">
        <f t="shared" si="1149"/>
        <v>0.11000000000000032</v>
      </c>
      <c r="DU96" s="189">
        <f t="shared" si="1150"/>
        <v>0</v>
      </c>
      <c r="DV96" s="189">
        <f t="shared" si="1151"/>
        <v>0</v>
      </c>
      <c r="DW96" s="189">
        <f t="shared" si="1152"/>
        <v>0</v>
      </c>
      <c r="DX96" s="54"/>
      <c r="DY96" s="54"/>
      <c r="DZ96" s="199">
        <f t="shared" ca="1" si="1055"/>
        <v>157010.19536903041</v>
      </c>
      <c r="EA96" s="200">
        <f t="shared" si="1153"/>
        <v>1</v>
      </c>
      <c r="EB96" s="201">
        <f t="shared" ca="1" si="1056"/>
        <v>100954.56741734224</v>
      </c>
      <c r="EC96" s="200">
        <f t="shared" si="1154"/>
        <v>1</v>
      </c>
      <c r="ED96" s="201" cm="1">
        <f t="array" ref="ED96">IF(LEFT($AG96,3)="Res",IF(OR($DN96&gt;External_Threshold,$DD96&gt;0),1*Uplift*AWE*(External),0),0)</f>
        <v>15481.186685962373</v>
      </c>
      <c r="EE96" s="200">
        <f t="shared" si="1155"/>
        <v>1</v>
      </c>
      <c r="EF96" s="201">
        <f t="shared" si="1057"/>
        <v>0</v>
      </c>
      <c r="EG96" s="203">
        <f t="shared" si="1156"/>
        <v>0</v>
      </c>
      <c r="EH96" s="199">
        <f t="shared" ca="1" si="1058"/>
        <v>133032.93342981188</v>
      </c>
      <c r="EI96" s="200">
        <f t="shared" si="1059"/>
        <v>1</v>
      </c>
      <c r="EJ96" s="201">
        <f t="shared" ca="1" si="1060"/>
        <v>100324.69465446443</v>
      </c>
      <c r="EK96" s="200">
        <f t="shared" si="1061"/>
        <v>1</v>
      </c>
      <c r="EL96" s="201" cm="1">
        <f t="array" ref="EL96">IF(LEFT($AG96,3)="Res",IF(OR($DO96&gt;External_Threshold,$DE96&gt;0),1*Uplift*AWE*(External),0),0)</f>
        <v>15481.186685962373</v>
      </c>
      <c r="EM96" s="200">
        <f t="shared" si="1062"/>
        <v>1</v>
      </c>
      <c r="EN96" s="201">
        <f t="shared" si="1063"/>
        <v>0</v>
      </c>
      <c r="EO96" s="203">
        <f t="shared" si="1157"/>
        <v>0</v>
      </c>
      <c r="EP96" s="199">
        <f t="shared" ca="1" si="1064"/>
        <v>118115.26193921853</v>
      </c>
      <c r="EQ96" s="200">
        <f t="shared" si="1065"/>
        <v>1</v>
      </c>
      <c r="ER96" s="201">
        <f t="shared" ca="1" si="1066"/>
        <v>99064.949128708715</v>
      </c>
      <c r="ES96" s="200">
        <f t="shared" si="1067"/>
        <v>1</v>
      </c>
      <c r="ET96" s="201" cm="1">
        <f t="array" ref="ET96">IF(LEFT($AG96,3)="Res",IF(OR($DP96&gt;External_Threshold,$DF96&gt;0),1*Uplift*AWE*(External),0),0)</f>
        <v>15481.186685962373</v>
      </c>
      <c r="EU96" s="200">
        <f t="shared" si="1068"/>
        <v>1</v>
      </c>
      <c r="EV96" s="201">
        <f t="shared" si="1069"/>
        <v>0</v>
      </c>
      <c r="EW96" s="203">
        <f t="shared" si="1158"/>
        <v>0</v>
      </c>
      <c r="EX96" s="199">
        <f t="shared" ca="1" si="1070"/>
        <v>113244.88060781476</v>
      </c>
      <c r="EY96" s="200">
        <f t="shared" si="1071"/>
        <v>1</v>
      </c>
      <c r="EZ96" s="201">
        <f t="shared" ca="1" si="1072"/>
        <v>97805.203602953014</v>
      </c>
      <c r="FA96" s="200">
        <f t="shared" si="1073"/>
        <v>1</v>
      </c>
      <c r="FB96" s="201" cm="1">
        <f t="array" ref="FB96">IF(LEFT($AG96,3)="Res",IF(OR($DQ96&gt;External_Threshold,$DG96&gt;0),1*Uplift*AWE*(External),0),0)</f>
        <v>15481.186685962373</v>
      </c>
      <c r="FC96" s="200">
        <f t="shared" si="1074"/>
        <v>1</v>
      </c>
      <c r="FD96" s="201">
        <f t="shared" si="1075"/>
        <v>0</v>
      </c>
      <c r="FE96" s="203">
        <f t="shared" si="1159"/>
        <v>0</v>
      </c>
      <c r="FF96" s="199">
        <f t="shared" ca="1" si="1076"/>
        <v>102278.00795947904</v>
      </c>
      <c r="FG96" s="200">
        <f t="shared" si="1077"/>
        <v>1</v>
      </c>
      <c r="FH96" s="201">
        <f t="shared" ca="1" si="1078"/>
        <v>91699.813332731545</v>
      </c>
      <c r="FI96" s="200">
        <f t="shared" si="1079"/>
        <v>1</v>
      </c>
      <c r="FJ96" s="201" cm="1">
        <f t="array" ref="FJ96">IF(LEFT($AG96,3)="Res",IF(OR($DR96&gt;External_Threshold,$DH96&gt;0),1*Uplift*AWE*(External),0),0)</f>
        <v>15481.186685962373</v>
      </c>
      <c r="FK96" s="200">
        <f t="shared" si="1080"/>
        <v>1</v>
      </c>
      <c r="FL96" s="201">
        <f t="shared" si="1081"/>
        <v>0</v>
      </c>
      <c r="FM96" s="203">
        <f t="shared" si="1160"/>
        <v>0</v>
      </c>
      <c r="FN96" s="199">
        <f t="shared" ca="1" si="1082"/>
        <v>86338.578147612163</v>
      </c>
      <c r="FO96" s="200">
        <f t="shared" si="1083"/>
        <v>1</v>
      </c>
      <c r="FP96" s="201">
        <f t="shared" ca="1" si="1084"/>
        <v>74389.032792288592</v>
      </c>
      <c r="FQ96" s="200">
        <f t="shared" si="1085"/>
        <v>1</v>
      </c>
      <c r="FR96" s="201" cm="1">
        <f t="array" ref="FR96">IF(LEFT($AG96,3)="Res",IF(OR($DS96&gt;External_Threshold,$DI96&gt;0),1*Uplift*AWE*(External),0),0)</f>
        <v>15481.186685962373</v>
      </c>
      <c r="FS96" s="200">
        <f t="shared" si="1086"/>
        <v>1</v>
      </c>
      <c r="FT96" s="201">
        <f t="shared" si="1087"/>
        <v>0</v>
      </c>
      <c r="FU96" s="203">
        <f t="shared" si="1161"/>
        <v>0</v>
      </c>
      <c r="FV96" s="199">
        <f t="shared" ca="1" si="1088"/>
        <v>5619.6707670043415</v>
      </c>
      <c r="FW96" s="200">
        <f t="shared" si="1089"/>
        <v>1</v>
      </c>
      <c r="FX96" s="201">
        <f t="shared" ca="1" si="1090"/>
        <v>0</v>
      </c>
      <c r="FY96" s="200">
        <f t="shared" si="1091"/>
        <v>1</v>
      </c>
      <c r="FZ96" s="201" cm="1">
        <f t="array" ref="FZ96">IF(LEFT($AG96,3)="Res",IF(OR($DT96&gt;External_Threshold,$DJ96&gt;0),1*Uplift*AWE*(External),0),0)</f>
        <v>15481.186685962373</v>
      </c>
      <c r="GA96" s="200">
        <f t="shared" si="1092"/>
        <v>1</v>
      </c>
      <c r="GB96" s="201">
        <f t="shared" si="1093"/>
        <v>0</v>
      </c>
      <c r="GC96" s="203">
        <f t="shared" si="1162"/>
        <v>0</v>
      </c>
      <c r="GD96" s="199">
        <f t="shared" ca="1" si="1094"/>
        <v>0</v>
      </c>
      <c r="GE96" s="200">
        <f t="shared" si="1095"/>
        <v>0</v>
      </c>
      <c r="GF96" s="201">
        <f t="shared" ca="1" si="1096"/>
        <v>0</v>
      </c>
      <c r="GG96" s="200">
        <f t="shared" si="1097"/>
        <v>0</v>
      </c>
      <c r="GH96" s="201" cm="1">
        <f t="array" ref="GH96">IF(LEFT($AG96,3)="Res",IF(OR($DU96&gt;External_Threshold,$DK96&gt;0),1*Uplift*AWE*(External),0),0)</f>
        <v>0</v>
      </c>
      <c r="GI96" s="200">
        <f t="shared" si="1098"/>
        <v>0</v>
      </c>
      <c r="GJ96" s="201">
        <f t="shared" si="1099"/>
        <v>0</v>
      </c>
      <c r="GK96" s="203">
        <f t="shared" si="1163"/>
        <v>0</v>
      </c>
      <c r="GL96" s="199">
        <f t="shared" ca="1" si="1100"/>
        <v>0</v>
      </c>
      <c r="GM96" s="200">
        <f t="shared" si="1101"/>
        <v>0</v>
      </c>
      <c r="GN96" s="201">
        <f t="shared" ca="1" si="1102"/>
        <v>0</v>
      </c>
      <c r="GO96" s="200">
        <f t="shared" si="1103"/>
        <v>0</v>
      </c>
      <c r="GP96" s="201" cm="1">
        <f t="array" ref="GP96">IF(LEFT($AG96,3)="Res",IF(OR($DV96&gt;External_Threshold,$DL96&gt;0),1*Uplift*AWE*(External),0),0)</f>
        <v>0</v>
      </c>
      <c r="GQ96" s="200">
        <f t="shared" si="1104"/>
        <v>0</v>
      </c>
      <c r="GR96" s="201">
        <f t="shared" si="1105"/>
        <v>0</v>
      </c>
      <c r="GS96" s="203">
        <f t="shared" si="1164"/>
        <v>0</v>
      </c>
      <c r="GT96" s="199">
        <f t="shared" ca="1" si="1106"/>
        <v>0</v>
      </c>
      <c r="GU96" s="200">
        <f t="shared" si="1107"/>
        <v>0</v>
      </c>
      <c r="GV96" s="201">
        <f t="shared" ca="1" si="1108"/>
        <v>0</v>
      </c>
      <c r="GW96" s="200">
        <f t="shared" si="1109"/>
        <v>0</v>
      </c>
      <c r="GX96" s="201" cm="1">
        <f t="array" ref="GX96">IF(LEFT($AG96,3)="Res",IF(OR($DW96&gt;External_Threshold,$DM96&gt;0),1*Uplift*AWE*(External),0),0)</f>
        <v>0</v>
      </c>
      <c r="GY96" s="200">
        <f t="shared" si="1110"/>
        <v>0</v>
      </c>
      <c r="GZ96" s="201">
        <f t="shared" si="1111"/>
        <v>0</v>
      </c>
      <c r="HA96" s="203">
        <f t="shared" si="1165"/>
        <v>0</v>
      </c>
      <c r="HB96" s="54"/>
      <c r="HC96" s="54"/>
      <c r="HD96" s="54"/>
      <c r="HE96" s="54"/>
      <c r="HF96" s="54"/>
      <c r="HG96" s="201">
        <f t="shared" ca="1" si="1166"/>
        <v>273445.94947233505</v>
      </c>
      <c r="HH96" s="201">
        <f t="shared" ca="1" si="1167"/>
        <v>248838.81477023868</v>
      </c>
      <c r="HI96" s="201">
        <f t="shared" ca="1" si="1168"/>
        <v>232661.39775388961</v>
      </c>
      <c r="HJ96" s="201">
        <f t="shared" ca="1" si="1169"/>
        <v>226531.27089673013</v>
      </c>
      <c r="HK96" s="201">
        <f t="shared" ca="1" si="1170"/>
        <v>209459.00797817297</v>
      </c>
      <c r="HL96" s="201">
        <f t="shared" ca="1" si="1171"/>
        <v>176208.79762586311</v>
      </c>
      <c r="HM96" s="201">
        <f t="shared" ca="1" si="1172"/>
        <v>21100.857452966717</v>
      </c>
      <c r="HN96" s="201">
        <f t="shared" ca="1" si="1173"/>
        <v>0</v>
      </c>
      <c r="HO96" s="201">
        <f t="shared" ca="1" si="1174"/>
        <v>0</v>
      </c>
      <c r="HP96" s="201">
        <f t="shared" ca="1" si="1175"/>
        <v>0</v>
      </c>
      <c r="HQ96" s="54"/>
    </row>
    <row r="97" spans="1:225" x14ac:dyDescent="0.3">
      <c r="A97" s="513">
        <v>79</v>
      </c>
      <c r="B97" s="514" t="s">
        <v>502</v>
      </c>
      <c r="C97" s="514" t="s">
        <v>390</v>
      </c>
      <c r="D97" s="514" t="s">
        <v>390</v>
      </c>
      <c r="E97" s="513">
        <v>1</v>
      </c>
      <c r="F97" s="515">
        <v>5.0999999999999996</v>
      </c>
      <c r="G97" s="515">
        <v>4.38</v>
      </c>
      <c r="H97" s="513">
        <v>1</v>
      </c>
      <c r="I97" s="517">
        <v>1</v>
      </c>
      <c r="J97" s="518" t="s">
        <v>44</v>
      </c>
      <c r="K97" s="513">
        <f t="shared" si="1044"/>
        <v>240</v>
      </c>
      <c r="L97" s="519">
        <v>8.8999999999999986</v>
      </c>
      <c r="M97" s="519">
        <v>6.5299999999999994</v>
      </c>
      <c r="N97" s="519">
        <v>6.2299999999999995</v>
      </c>
      <c r="O97" s="519">
        <v>5.93</v>
      </c>
      <c r="P97" s="519">
        <v>5.47</v>
      </c>
      <c r="Q97" s="519">
        <v>5</v>
      </c>
      <c r="R97" s="519">
        <v>4.2</v>
      </c>
      <c r="S97" s="519">
        <v>0</v>
      </c>
      <c r="T97" s="519">
        <v>0</v>
      </c>
      <c r="U97" s="519">
        <v>0</v>
      </c>
      <c r="V97" s="536"/>
      <c r="W97" s="536"/>
      <c r="X97" s="536"/>
      <c r="Y97" s="536"/>
      <c r="Z97" s="536"/>
      <c r="AA97" s="536"/>
      <c r="AB97" s="536"/>
      <c r="AC97" s="536"/>
      <c r="AD97" s="536"/>
      <c r="AE97" s="536"/>
      <c r="AF97" s="54"/>
      <c r="AG97" s="204" t="str">
        <f t="shared" si="1253"/>
        <v>Res1</v>
      </c>
      <c r="AH97" s="204">
        <f t="shared" si="1112"/>
        <v>6</v>
      </c>
      <c r="AI97" s="204">
        <f t="shared" si="1045"/>
        <v>1</v>
      </c>
      <c r="AJ97" s="54"/>
      <c r="AK97" s="74">
        <f>IFERROR(IF(H97&gt;4,0,AI97*Inputs!$C$55),0)</f>
        <v>2.6</v>
      </c>
      <c r="AL97" s="81">
        <f>IFERROR(Inputs!$C$73,0)</f>
        <v>5</v>
      </c>
      <c r="AM97" s="211">
        <f>IFERROR(Inputs!$C$74,0)</f>
        <v>0.24299999999999999</v>
      </c>
      <c r="AN97" s="446">
        <f>IFERROR(HLOOKUP(HLOOKUP(AN$17,$V$18:$AE97,COUNTA($AK$18:$AK97),FALSE),Inputs!$B$58:$H$59,2,FALSE),0)</f>
        <v>0</v>
      </c>
      <c r="AO97" s="447">
        <f t="shared" si="1113"/>
        <v>0</v>
      </c>
      <c r="AP97" s="447">
        <f t="shared" si="1114"/>
        <v>0</v>
      </c>
      <c r="AQ97" s="446">
        <f>IFERROR(HLOOKUP(HLOOKUP(AQ$17,$V$18:$AE97,COUNTA($AK$18:$AK97),FALSE),Inputs!$B$58:$H$59,2,FALSE),0)</f>
        <v>0</v>
      </c>
      <c r="AR97" s="447">
        <f t="shared" ref="AR97" si="1290">2*$AK97*AQ97*$AL97/100*$AM97</f>
        <v>0</v>
      </c>
      <c r="AS97" s="447">
        <f t="shared" si="1116"/>
        <v>0</v>
      </c>
      <c r="AT97" s="446">
        <f>IFERROR(HLOOKUP(HLOOKUP(AT$17,$V$18:$AE97,COUNTA($AK$18:$AK97),FALSE),Inputs!$B$58:$H$59,2,FALSE),0)</f>
        <v>0</v>
      </c>
      <c r="AU97" s="447">
        <f t="shared" ref="AU97" si="1291">2*$AK97*AT97*$AL97/100*$AM97</f>
        <v>0</v>
      </c>
      <c r="AV97" s="447">
        <f t="shared" si="1118"/>
        <v>0</v>
      </c>
      <c r="AW97" s="446">
        <f>IFERROR(HLOOKUP(HLOOKUP(AW$17,$V$18:$AE97,COUNTA($AK$18:$AK97),FALSE),Inputs!$B$58:$H$59,2,FALSE),0)</f>
        <v>0</v>
      </c>
      <c r="AX97" s="447">
        <f t="shared" ref="AX97" si="1292">2*$AK97*AW97*$AL97/100*$AM97</f>
        <v>0</v>
      </c>
      <c r="AY97" s="447">
        <f t="shared" si="1120"/>
        <v>0</v>
      </c>
      <c r="AZ97" s="446">
        <f>IFERROR(HLOOKUP(HLOOKUP(AZ$17,$V$18:$AE97,COUNTA($AK$18:$AK97),FALSE),Inputs!$B$58:$H$59,2,FALSE),0)</f>
        <v>0</v>
      </c>
      <c r="BA97" s="447">
        <f t="shared" ref="BA97" si="1293">2*$AK97*AZ97*$AL97/100*$AM97</f>
        <v>0</v>
      </c>
      <c r="BB97" s="447">
        <f t="shared" si="1122"/>
        <v>0</v>
      </c>
      <c r="BC97" s="446">
        <f>IFERROR(HLOOKUP(HLOOKUP(BC$17,$V$18:$AE97,COUNTA($AK$18:$AK97),FALSE),Inputs!$B$58:$H$59,2,FALSE),0)</f>
        <v>0</v>
      </c>
      <c r="BD97" s="447">
        <f t="shared" ref="BD97" si="1294">2*$AK97*BC97*$AL97/100*$AM97</f>
        <v>0</v>
      </c>
      <c r="BE97" s="447">
        <f t="shared" si="1124"/>
        <v>0</v>
      </c>
      <c r="BF97" s="446">
        <f>IFERROR(HLOOKUP(HLOOKUP(BF$17,$V$18:$AE97,COUNTA($AK$18:$AK97),FALSE),Inputs!$B$58:$H$59,2,FALSE),0)</f>
        <v>0</v>
      </c>
      <c r="BG97" s="447">
        <f t="shared" ref="BG97" si="1295">2*$AK97*BF97*$AL97/100*$AM97</f>
        <v>0</v>
      </c>
      <c r="BH97" s="447">
        <f t="shared" si="1126"/>
        <v>0</v>
      </c>
      <c r="BI97" s="446">
        <f>IFERROR(HLOOKUP(HLOOKUP(BI$17,$V$18:$AE97,COUNTA($AK$18:$AK97),FALSE),Inputs!$B$58:$H$59,2,FALSE),0)</f>
        <v>0</v>
      </c>
      <c r="BJ97" s="447">
        <f t="shared" ref="BJ97" si="1296">2*$AK97*BI97*$AL97/100*$AM97</f>
        <v>0</v>
      </c>
      <c r="BK97" s="447">
        <f t="shared" si="1128"/>
        <v>0</v>
      </c>
      <c r="BL97" s="446">
        <f>IFERROR(HLOOKUP(HLOOKUP(BL$17,$V$18:$AE97,COUNTA($AK$18:$AK97),FALSE),Inputs!$B$58:$H$59,2,FALSE),0)</f>
        <v>0</v>
      </c>
      <c r="BM97" s="447">
        <f t="shared" ref="BM97" si="1297">2*$AK97*BL97*$AL97/100*$AM97</f>
        <v>0</v>
      </c>
      <c r="BN97" s="447">
        <f t="shared" si="1130"/>
        <v>0</v>
      </c>
      <c r="BO97" s="446">
        <f>IFERROR(HLOOKUP(HLOOKUP(BO$17,$V$18:$AE97,COUNTA($AK$18:$AK97),FALSE),Inputs!$B$58:$H$59,2,FALSE),0)</f>
        <v>0</v>
      </c>
      <c r="BP97" s="447">
        <f t="shared" ref="BP97" si="1298">2*$AK97*BO97*$AL97/100*$AM97</f>
        <v>0</v>
      </c>
      <c r="BQ97" s="447">
        <f t="shared" si="1132"/>
        <v>0</v>
      </c>
      <c r="BR97" s="54"/>
      <c r="BS97" s="103">
        <f t="shared" ca="1" si="1203"/>
        <v>4331.7212431837916</v>
      </c>
      <c r="BT97" s="103">
        <f t="shared" ca="1" si="1204"/>
        <v>2960.6782746928779</v>
      </c>
      <c r="BU97" s="103">
        <f t="shared" si="1205"/>
        <v>1160.9341895803186</v>
      </c>
      <c r="BV97" s="103">
        <f t="shared" si="1206"/>
        <v>0</v>
      </c>
      <c r="BW97" s="152">
        <f t="shared" ca="1" si="1207"/>
        <v>8453.3337074569881</v>
      </c>
      <c r="BX97" s="441"/>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188">
        <f t="shared" si="1133"/>
        <v>3.7999999999999989</v>
      </c>
      <c r="DE97" s="188">
        <f t="shared" si="1134"/>
        <v>1.4299999999999997</v>
      </c>
      <c r="DF97" s="188">
        <f t="shared" si="1135"/>
        <v>1.1299999999999999</v>
      </c>
      <c r="DG97" s="188">
        <f t="shared" si="1136"/>
        <v>0.83000000000000007</v>
      </c>
      <c r="DH97" s="188">
        <f t="shared" si="1137"/>
        <v>0.37000000000000011</v>
      </c>
      <c r="DI97" s="188">
        <f t="shared" si="1138"/>
        <v>-9.9999999999999645E-2</v>
      </c>
      <c r="DJ97" s="188">
        <f t="shared" si="1139"/>
        <v>-0.3</v>
      </c>
      <c r="DK97" s="188">
        <f t="shared" si="1140"/>
        <v>-0.3</v>
      </c>
      <c r="DL97" s="188">
        <f t="shared" si="1141"/>
        <v>-0.3</v>
      </c>
      <c r="DM97" s="188">
        <f t="shared" si="1142"/>
        <v>-0.3</v>
      </c>
      <c r="DN97" s="189">
        <f t="shared" si="1143"/>
        <v>4.5199999999999987</v>
      </c>
      <c r="DO97" s="189">
        <f t="shared" si="1144"/>
        <v>2.1499999999999995</v>
      </c>
      <c r="DP97" s="189">
        <f t="shared" si="1145"/>
        <v>1.8499999999999996</v>
      </c>
      <c r="DQ97" s="189">
        <f t="shared" si="1146"/>
        <v>1.5499999999999998</v>
      </c>
      <c r="DR97" s="189">
        <f t="shared" si="1147"/>
        <v>1.0899999999999999</v>
      </c>
      <c r="DS97" s="189">
        <f t="shared" si="1148"/>
        <v>0.62000000000000011</v>
      </c>
      <c r="DT97" s="189">
        <f t="shared" si="1149"/>
        <v>0</v>
      </c>
      <c r="DU97" s="189">
        <f t="shared" si="1150"/>
        <v>0</v>
      </c>
      <c r="DV97" s="189">
        <f t="shared" si="1151"/>
        <v>0</v>
      </c>
      <c r="DW97" s="189">
        <f t="shared" si="1152"/>
        <v>0</v>
      </c>
      <c r="DX97" s="54"/>
      <c r="DY97" s="54"/>
      <c r="DZ97" s="199">
        <f t="shared" ca="1" si="1055"/>
        <v>209346.9271587072</v>
      </c>
      <c r="EA97" s="200">
        <f t="shared" si="1153"/>
        <v>1</v>
      </c>
      <c r="EB97" s="201">
        <f t="shared" ca="1" si="1056"/>
        <v>129139.423223123</v>
      </c>
      <c r="EC97" s="200">
        <f t="shared" si="1154"/>
        <v>1</v>
      </c>
      <c r="ED97" s="201" cm="1">
        <f t="array" ref="ED97">IF(LEFT($AG97,3)="Res",IF(OR($DN97&gt;External_Threshold,$DD97&gt;0),1*Uplift*AWE*(External),0),0)</f>
        <v>15481.186685962373</v>
      </c>
      <c r="EE97" s="200">
        <f t="shared" si="1155"/>
        <v>1</v>
      </c>
      <c r="EF97" s="201">
        <f t="shared" si="1057"/>
        <v>0</v>
      </c>
      <c r="EG97" s="203">
        <f t="shared" si="1156"/>
        <v>0</v>
      </c>
      <c r="EH97" s="199">
        <f t="shared" ca="1" si="1058"/>
        <v>144953.44717800291</v>
      </c>
      <c r="EI97" s="200">
        <f t="shared" si="1059"/>
        <v>1</v>
      </c>
      <c r="EJ97" s="201">
        <f t="shared" ca="1" si="1060"/>
        <v>119513.25789707383</v>
      </c>
      <c r="EK97" s="200">
        <f t="shared" si="1061"/>
        <v>1</v>
      </c>
      <c r="EL97" s="201" cm="1">
        <f t="array" ref="EL97">IF(LEFT($AG97,3)="Res",IF(OR($DO97&gt;External_Threshold,$DE97&gt;0),1*Uplift*AWE*(External),0),0)</f>
        <v>15481.186685962373</v>
      </c>
      <c r="EM97" s="200">
        <f t="shared" si="1062"/>
        <v>1</v>
      </c>
      <c r="EN97" s="201">
        <f t="shared" si="1063"/>
        <v>0</v>
      </c>
      <c r="EO97" s="203">
        <f t="shared" si="1157"/>
        <v>0</v>
      </c>
      <c r="EP97" s="199">
        <f t="shared" ca="1" si="1064"/>
        <v>127787.90738060781</v>
      </c>
      <c r="EQ97" s="200">
        <f t="shared" si="1065"/>
        <v>1</v>
      </c>
      <c r="ER97" s="201">
        <f t="shared" ca="1" si="1066"/>
        <v>114086.24432354364</v>
      </c>
      <c r="ES97" s="200">
        <f t="shared" si="1067"/>
        <v>1</v>
      </c>
      <c r="ET97" s="201" cm="1">
        <f t="array" ref="ET97">IF(LEFT($AG97,3)="Res",IF(OR($DP97&gt;External_Threshold,$DF97&gt;0),1*Uplift*AWE*(External),0),0)</f>
        <v>15481.186685962373</v>
      </c>
      <c r="EU97" s="200">
        <f t="shared" si="1068"/>
        <v>1</v>
      </c>
      <c r="EV97" s="201">
        <f t="shared" si="1069"/>
        <v>0</v>
      </c>
      <c r="EW97" s="203">
        <f t="shared" si="1158"/>
        <v>0</v>
      </c>
      <c r="EX97" s="199">
        <f t="shared" ca="1" si="1070"/>
        <v>116139.86251808972</v>
      </c>
      <c r="EY97" s="200">
        <f t="shared" si="1071"/>
        <v>1</v>
      </c>
      <c r="EZ97" s="201">
        <f t="shared" ca="1" si="1072"/>
        <v>99407.217176483216</v>
      </c>
      <c r="FA97" s="200">
        <f t="shared" si="1073"/>
        <v>1</v>
      </c>
      <c r="FB97" s="201" cm="1">
        <f t="array" ref="FB97">IF(LEFT($AG97,3)="Res",IF(OR($DQ97&gt;External_Threshold,$DG97&gt;0),1*Uplift*AWE*(External),0),0)</f>
        <v>15481.186685962373</v>
      </c>
      <c r="FC97" s="200">
        <f t="shared" si="1074"/>
        <v>1</v>
      </c>
      <c r="FD97" s="201">
        <f t="shared" si="1075"/>
        <v>0</v>
      </c>
      <c r="FE97" s="203">
        <f t="shared" si="1159"/>
        <v>0</v>
      </c>
      <c r="FF97" s="199">
        <f t="shared" ca="1" si="1076"/>
        <v>108987.5542691751</v>
      </c>
      <c r="FG97" s="200">
        <f t="shared" si="1077"/>
        <v>1</v>
      </c>
      <c r="FH97" s="201">
        <f t="shared" ca="1" si="1078"/>
        <v>66604.993200743629</v>
      </c>
      <c r="FI97" s="200">
        <f t="shared" si="1079"/>
        <v>1</v>
      </c>
      <c r="FJ97" s="201" cm="1">
        <f t="array" ref="FJ97">IF(LEFT($AG97,3)="Res",IF(OR($DR97&gt;External_Threshold,$DH97&gt;0),1*Uplift*AWE*(External),0),0)</f>
        <v>15481.186685962373</v>
      </c>
      <c r="FK97" s="200">
        <f t="shared" si="1080"/>
        <v>1</v>
      </c>
      <c r="FL97" s="201">
        <f t="shared" si="1081"/>
        <v>0</v>
      </c>
      <c r="FM97" s="203">
        <f t="shared" si="1160"/>
        <v>0</v>
      </c>
      <c r="FN97" s="199">
        <f t="shared" ca="1" si="1082"/>
        <v>4995.2629040038591</v>
      </c>
      <c r="FO97" s="200">
        <f t="shared" si="1083"/>
        <v>0</v>
      </c>
      <c r="FP97" s="201">
        <f t="shared" ca="1" si="1084"/>
        <v>0</v>
      </c>
      <c r="FQ97" s="200">
        <f t="shared" si="1085"/>
        <v>0</v>
      </c>
      <c r="FR97" s="201" cm="1">
        <f t="array" ref="FR97">IF(LEFT($AG97,3)="Res",IF(OR($DS97&gt;External_Threshold,$DI97&gt;0),1*Uplift*AWE*(External),0),0)</f>
        <v>15481.186685962373</v>
      </c>
      <c r="FS97" s="200">
        <f t="shared" si="1086"/>
        <v>1</v>
      </c>
      <c r="FT97" s="201">
        <f t="shared" si="1087"/>
        <v>0</v>
      </c>
      <c r="FU97" s="203">
        <f t="shared" si="1161"/>
        <v>0</v>
      </c>
      <c r="FV97" s="199">
        <f t="shared" ca="1" si="1088"/>
        <v>0</v>
      </c>
      <c r="FW97" s="200">
        <f t="shared" si="1089"/>
        <v>0</v>
      </c>
      <c r="FX97" s="201">
        <f t="shared" ca="1" si="1090"/>
        <v>0</v>
      </c>
      <c r="FY97" s="200">
        <f t="shared" si="1091"/>
        <v>0</v>
      </c>
      <c r="FZ97" s="201" cm="1">
        <f t="array" ref="FZ97">IF(LEFT($AG97,3)="Res",IF(OR($DT97&gt;External_Threshold,$DJ97&gt;0),1*Uplift*AWE*(External),0),0)</f>
        <v>0</v>
      </c>
      <c r="GA97" s="200">
        <f t="shared" si="1092"/>
        <v>0</v>
      </c>
      <c r="GB97" s="201">
        <f t="shared" si="1093"/>
        <v>0</v>
      </c>
      <c r="GC97" s="203">
        <f t="shared" si="1162"/>
        <v>0</v>
      </c>
      <c r="GD97" s="199">
        <f t="shared" ca="1" si="1094"/>
        <v>0</v>
      </c>
      <c r="GE97" s="200">
        <f t="shared" si="1095"/>
        <v>0</v>
      </c>
      <c r="GF97" s="201">
        <f t="shared" ca="1" si="1096"/>
        <v>0</v>
      </c>
      <c r="GG97" s="200">
        <f t="shared" si="1097"/>
        <v>0</v>
      </c>
      <c r="GH97" s="201" cm="1">
        <f t="array" ref="GH97">IF(LEFT($AG97,3)="Res",IF(OR($DU97&gt;External_Threshold,$DK97&gt;0),1*Uplift*AWE*(External),0),0)</f>
        <v>0</v>
      </c>
      <c r="GI97" s="200">
        <f t="shared" si="1098"/>
        <v>0</v>
      </c>
      <c r="GJ97" s="201">
        <f t="shared" si="1099"/>
        <v>0</v>
      </c>
      <c r="GK97" s="203">
        <f t="shared" si="1163"/>
        <v>0</v>
      </c>
      <c r="GL97" s="199">
        <f t="shared" ca="1" si="1100"/>
        <v>0</v>
      </c>
      <c r="GM97" s="200">
        <f t="shared" si="1101"/>
        <v>0</v>
      </c>
      <c r="GN97" s="201">
        <f t="shared" ca="1" si="1102"/>
        <v>0</v>
      </c>
      <c r="GO97" s="200">
        <f t="shared" si="1103"/>
        <v>0</v>
      </c>
      <c r="GP97" s="201" cm="1">
        <f t="array" ref="GP97">IF(LEFT($AG97,3)="Res",IF(OR($DV97&gt;External_Threshold,$DL97&gt;0),1*Uplift*AWE*(External),0),0)</f>
        <v>0</v>
      </c>
      <c r="GQ97" s="200">
        <f t="shared" si="1104"/>
        <v>0</v>
      </c>
      <c r="GR97" s="201">
        <f t="shared" si="1105"/>
        <v>0</v>
      </c>
      <c r="GS97" s="203">
        <f t="shared" si="1164"/>
        <v>0</v>
      </c>
      <c r="GT97" s="199">
        <f t="shared" ca="1" si="1106"/>
        <v>0</v>
      </c>
      <c r="GU97" s="200">
        <f t="shared" si="1107"/>
        <v>0</v>
      </c>
      <c r="GV97" s="201">
        <f t="shared" ca="1" si="1108"/>
        <v>0</v>
      </c>
      <c r="GW97" s="200">
        <f t="shared" si="1109"/>
        <v>0</v>
      </c>
      <c r="GX97" s="201" cm="1">
        <f t="array" ref="GX97">IF(LEFT($AG97,3)="Res",IF(OR($DW97&gt;External_Threshold,$DM97&gt;0),1*Uplift*AWE*(External),0),0)</f>
        <v>0</v>
      </c>
      <c r="GY97" s="200">
        <f t="shared" si="1110"/>
        <v>0</v>
      </c>
      <c r="GZ97" s="201">
        <f t="shared" si="1111"/>
        <v>0</v>
      </c>
      <c r="HA97" s="203">
        <f t="shared" si="1165"/>
        <v>0</v>
      </c>
      <c r="HB97" s="54"/>
      <c r="HC97" s="54"/>
      <c r="HD97" s="54"/>
      <c r="HE97" s="54"/>
      <c r="HF97" s="54"/>
      <c r="HG97" s="201">
        <f t="shared" ca="1" si="1166"/>
        <v>353967.53706779255</v>
      </c>
      <c r="HH97" s="201">
        <f t="shared" ca="1" si="1167"/>
        <v>279947.89176103909</v>
      </c>
      <c r="HI97" s="201">
        <f t="shared" ca="1" si="1168"/>
        <v>257355.33839011381</v>
      </c>
      <c r="HJ97" s="201">
        <f t="shared" ca="1" si="1169"/>
        <v>231028.26638053532</v>
      </c>
      <c r="HK97" s="201">
        <f t="shared" ca="1" si="1170"/>
        <v>191073.7341558811</v>
      </c>
      <c r="HL97" s="201">
        <f t="shared" ca="1" si="1171"/>
        <v>20476.449589966232</v>
      </c>
      <c r="HM97" s="201">
        <f t="shared" ca="1" si="1172"/>
        <v>0</v>
      </c>
      <c r="HN97" s="201">
        <f t="shared" ca="1" si="1173"/>
        <v>0</v>
      </c>
      <c r="HO97" s="201">
        <f t="shared" ca="1" si="1174"/>
        <v>0</v>
      </c>
      <c r="HP97" s="201">
        <f t="shared" ca="1" si="1175"/>
        <v>0</v>
      </c>
      <c r="HQ97" s="54"/>
    </row>
    <row r="98" spans="1:225" x14ac:dyDescent="0.3">
      <c r="A98" s="513">
        <v>80</v>
      </c>
      <c r="B98" s="514" t="s">
        <v>503</v>
      </c>
      <c r="C98" s="514" t="s">
        <v>390</v>
      </c>
      <c r="D98" s="514" t="s">
        <v>390</v>
      </c>
      <c r="E98" s="513">
        <v>1</v>
      </c>
      <c r="F98" s="515">
        <v>3.96</v>
      </c>
      <c r="G98" s="515">
        <v>3.95</v>
      </c>
      <c r="H98" s="513">
        <v>2</v>
      </c>
      <c r="I98" s="517">
        <v>1</v>
      </c>
      <c r="J98" s="518" t="s">
        <v>295</v>
      </c>
      <c r="K98" s="513">
        <f t="shared" si="1044"/>
        <v>220</v>
      </c>
      <c r="L98" s="519">
        <v>8.86</v>
      </c>
      <c r="M98" s="519">
        <v>6.5299999999999994</v>
      </c>
      <c r="N98" s="519">
        <v>6.2299999999999995</v>
      </c>
      <c r="O98" s="519">
        <v>5.93</v>
      </c>
      <c r="P98" s="519">
        <v>5.47</v>
      </c>
      <c r="Q98" s="519">
        <v>5</v>
      </c>
      <c r="R98" s="519">
        <v>4.2</v>
      </c>
      <c r="S98" s="519">
        <v>0</v>
      </c>
      <c r="T98" s="519">
        <v>0</v>
      </c>
      <c r="U98" s="519">
        <v>0</v>
      </c>
      <c r="V98" s="536"/>
      <c r="W98" s="536"/>
      <c r="X98" s="536"/>
      <c r="Y98" s="536"/>
      <c r="Z98" s="536"/>
      <c r="AA98" s="536"/>
      <c r="AB98" s="536"/>
      <c r="AC98" s="536"/>
      <c r="AD98" s="536"/>
      <c r="AE98" s="536"/>
      <c r="AF98" s="54"/>
      <c r="AG98" s="204" t="str">
        <f t="shared" si="1253"/>
        <v>Res1</v>
      </c>
      <c r="AH98" s="204">
        <f t="shared" si="1112"/>
        <v>6</v>
      </c>
      <c r="AI98" s="204">
        <f t="shared" si="1045"/>
        <v>1</v>
      </c>
      <c r="AJ98" s="54"/>
      <c r="AK98" s="74">
        <f>IFERROR(IF(H98&gt;4,0,AI98*Inputs!$C$55),0)</f>
        <v>2.6</v>
      </c>
      <c r="AL98" s="81">
        <f>IFERROR(Inputs!$C$73,0)</f>
        <v>5</v>
      </c>
      <c r="AM98" s="211">
        <f>IFERROR(Inputs!$C$74,0)</f>
        <v>0.24299999999999999</v>
      </c>
      <c r="AN98" s="446">
        <f>IFERROR(HLOOKUP(HLOOKUP(AN$17,$V$18:$AE98,COUNTA($AK$18:$AK98),FALSE),Inputs!$B$58:$H$59,2,FALSE),0)</f>
        <v>0</v>
      </c>
      <c r="AO98" s="447">
        <f t="shared" si="1113"/>
        <v>0</v>
      </c>
      <c r="AP98" s="447">
        <f t="shared" si="1114"/>
        <v>0</v>
      </c>
      <c r="AQ98" s="446">
        <f>IFERROR(HLOOKUP(HLOOKUP(AQ$17,$V$18:$AE98,COUNTA($AK$18:$AK98),FALSE),Inputs!$B$58:$H$59,2,FALSE),0)</f>
        <v>0</v>
      </c>
      <c r="AR98" s="447">
        <f t="shared" ref="AR98" si="1299">2*$AK98*AQ98*$AL98/100*$AM98</f>
        <v>0</v>
      </c>
      <c r="AS98" s="447">
        <f t="shared" si="1116"/>
        <v>0</v>
      </c>
      <c r="AT98" s="446">
        <f>IFERROR(HLOOKUP(HLOOKUP(AT$17,$V$18:$AE98,COUNTA($AK$18:$AK98),FALSE),Inputs!$B$58:$H$59,2,FALSE),0)</f>
        <v>0</v>
      </c>
      <c r="AU98" s="447">
        <f t="shared" ref="AU98" si="1300">2*$AK98*AT98*$AL98/100*$AM98</f>
        <v>0</v>
      </c>
      <c r="AV98" s="447">
        <f t="shared" si="1118"/>
        <v>0</v>
      </c>
      <c r="AW98" s="446">
        <f>IFERROR(HLOOKUP(HLOOKUP(AW$17,$V$18:$AE98,COUNTA($AK$18:$AK98),FALSE),Inputs!$B$58:$H$59,2,FALSE),0)</f>
        <v>0</v>
      </c>
      <c r="AX98" s="447">
        <f t="shared" ref="AX98" si="1301">2*$AK98*AW98*$AL98/100*$AM98</f>
        <v>0</v>
      </c>
      <c r="AY98" s="447">
        <f t="shared" si="1120"/>
        <v>0</v>
      </c>
      <c r="AZ98" s="446">
        <f>IFERROR(HLOOKUP(HLOOKUP(AZ$17,$V$18:$AE98,COUNTA($AK$18:$AK98),FALSE),Inputs!$B$58:$H$59,2,FALSE),0)</f>
        <v>0</v>
      </c>
      <c r="BA98" s="447">
        <f t="shared" ref="BA98" si="1302">2*$AK98*AZ98*$AL98/100*$AM98</f>
        <v>0</v>
      </c>
      <c r="BB98" s="447">
        <f t="shared" si="1122"/>
        <v>0</v>
      </c>
      <c r="BC98" s="446">
        <f>IFERROR(HLOOKUP(HLOOKUP(BC$17,$V$18:$AE98,COUNTA($AK$18:$AK98),FALSE),Inputs!$B$58:$H$59,2,FALSE),0)</f>
        <v>0</v>
      </c>
      <c r="BD98" s="447">
        <f t="shared" ref="BD98" si="1303">2*$AK98*BC98*$AL98/100*$AM98</f>
        <v>0</v>
      </c>
      <c r="BE98" s="447">
        <f t="shared" si="1124"/>
        <v>0</v>
      </c>
      <c r="BF98" s="446">
        <f>IFERROR(HLOOKUP(HLOOKUP(BF$17,$V$18:$AE98,COUNTA($AK$18:$AK98),FALSE),Inputs!$B$58:$H$59,2,FALSE),0)</f>
        <v>0</v>
      </c>
      <c r="BG98" s="447">
        <f t="shared" ref="BG98" si="1304">2*$AK98*BF98*$AL98/100*$AM98</f>
        <v>0</v>
      </c>
      <c r="BH98" s="447">
        <f t="shared" si="1126"/>
        <v>0</v>
      </c>
      <c r="BI98" s="446">
        <f>IFERROR(HLOOKUP(HLOOKUP(BI$17,$V$18:$AE98,COUNTA($AK$18:$AK98),FALSE),Inputs!$B$58:$H$59,2,FALSE),0)</f>
        <v>0</v>
      </c>
      <c r="BJ98" s="447">
        <f t="shared" ref="BJ98" si="1305">2*$AK98*BI98*$AL98/100*$AM98</f>
        <v>0</v>
      </c>
      <c r="BK98" s="447">
        <f t="shared" si="1128"/>
        <v>0</v>
      </c>
      <c r="BL98" s="446">
        <f>IFERROR(HLOOKUP(HLOOKUP(BL$17,$V$18:$AE98,COUNTA($AK$18:$AK98),FALSE),Inputs!$B$58:$H$59,2,FALSE),0)</f>
        <v>0</v>
      </c>
      <c r="BM98" s="447">
        <f t="shared" ref="BM98" si="1306">2*$AK98*BL98*$AL98/100*$AM98</f>
        <v>0</v>
      </c>
      <c r="BN98" s="447">
        <f t="shared" si="1130"/>
        <v>0</v>
      </c>
      <c r="BO98" s="446">
        <f>IFERROR(HLOOKUP(HLOOKUP(BO$17,$V$18:$AE98,COUNTA($AK$18:$AK98),FALSE),Inputs!$B$58:$H$59,2,FALSE),0)</f>
        <v>0</v>
      </c>
      <c r="BP98" s="447">
        <f t="shared" ref="BP98" si="1307">2*$AK98*BO98*$AL98/100*$AM98</f>
        <v>0</v>
      </c>
      <c r="BQ98" s="447">
        <f t="shared" si="1132"/>
        <v>0</v>
      </c>
      <c r="BR98" s="54"/>
      <c r="BS98" s="103">
        <f t="shared" ca="1" si="1203"/>
        <v>18345.606287691757</v>
      </c>
      <c r="BT98" s="103">
        <f t="shared" ca="1" si="1204"/>
        <v>13224.041212256898</v>
      </c>
      <c r="BU98" s="103">
        <f t="shared" si="1205"/>
        <v>2322.023191027497</v>
      </c>
      <c r="BV98" s="103">
        <f t="shared" si="1206"/>
        <v>0</v>
      </c>
      <c r="BW98" s="152">
        <f t="shared" ca="1" si="1207"/>
        <v>33891.670690976149</v>
      </c>
      <c r="BX98" s="441"/>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188">
        <f t="shared" si="1133"/>
        <v>4.8999999999999995</v>
      </c>
      <c r="DE98" s="188">
        <f t="shared" si="1134"/>
        <v>2.5699999999999994</v>
      </c>
      <c r="DF98" s="188">
        <f t="shared" si="1135"/>
        <v>2.2699999999999996</v>
      </c>
      <c r="DG98" s="188">
        <f t="shared" si="1136"/>
        <v>1.9699999999999998</v>
      </c>
      <c r="DH98" s="188">
        <f t="shared" si="1137"/>
        <v>1.5099999999999998</v>
      </c>
      <c r="DI98" s="188">
        <f t="shared" si="1138"/>
        <v>1.04</v>
      </c>
      <c r="DJ98" s="188">
        <f t="shared" si="1139"/>
        <v>0.24000000000000021</v>
      </c>
      <c r="DK98" s="188">
        <f t="shared" si="1140"/>
        <v>-0.3</v>
      </c>
      <c r="DL98" s="188">
        <f t="shared" si="1141"/>
        <v>-0.3</v>
      </c>
      <c r="DM98" s="188">
        <f t="shared" si="1142"/>
        <v>-0.3</v>
      </c>
      <c r="DN98" s="189">
        <f t="shared" si="1143"/>
        <v>4.9099999999999993</v>
      </c>
      <c r="DO98" s="189">
        <f t="shared" si="1144"/>
        <v>2.5799999999999992</v>
      </c>
      <c r="DP98" s="189">
        <f t="shared" si="1145"/>
        <v>2.2799999999999994</v>
      </c>
      <c r="DQ98" s="189">
        <f t="shared" si="1146"/>
        <v>1.9799999999999995</v>
      </c>
      <c r="DR98" s="189">
        <f t="shared" si="1147"/>
        <v>1.5199999999999996</v>
      </c>
      <c r="DS98" s="189">
        <f t="shared" si="1148"/>
        <v>1.0499999999999998</v>
      </c>
      <c r="DT98" s="189">
        <f t="shared" si="1149"/>
        <v>0.25</v>
      </c>
      <c r="DU98" s="189">
        <f t="shared" si="1150"/>
        <v>0</v>
      </c>
      <c r="DV98" s="189">
        <f t="shared" si="1151"/>
        <v>0</v>
      </c>
      <c r="DW98" s="189">
        <f t="shared" si="1152"/>
        <v>0</v>
      </c>
      <c r="DX98" s="54"/>
      <c r="DY98" s="54"/>
      <c r="DZ98" s="199">
        <f t="shared" ca="1" si="1055"/>
        <v>209346.9271587072</v>
      </c>
      <c r="EA98" s="200">
        <f t="shared" si="1153"/>
        <v>1</v>
      </c>
      <c r="EB98" s="201">
        <f t="shared" ca="1" si="1056"/>
        <v>129139.423223123</v>
      </c>
      <c r="EC98" s="200">
        <f t="shared" si="1154"/>
        <v>1</v>
      </c>
      <c r="ED98" s="201" cm="1">
        <f t="array" ref="ED98">IF(LEFT($AG98,3)="Res",IF(OR($DN98&gt;External_Threshold,$DD98&gt;0),1*Uplift*AWE*(External),0),0)</f>
        <v>15481.186685962373</v>
      </c>
      <c r="EE98" s="200">
        <f t="shared" si="1155"/>
        <v>1</v>
      </c>
      <c r="EF98" s="201">
        <f t="shared" si="1057"/>
        <v>0</v>
      </c>
      <c r="EG98" s="203">
        <f t="shared" si="1156"/>
        <v>0</v>
      </c>
      <c r="EH98" s="199">
        <f t="shared" ca="1" si="1058"/>
        <v>189524.81572600099</v>
      </c>
      <c r="EI98" s="200">
        <f t="shared" si="1059"/>
        <v>1</v>
      </c>
      <c r="EJ98" s="201">
        <f t="shared" ca="1" si="1060"/>
        <v>129139.423223123</v>
      </c>
      <c r="EK98" s="200">
        <f t="shared" si="1061"/>
        <v>1</v>
      </c>
      <c r="EL98" s="201" cm="1">
        <f t="array" ref="EL98">IF(LEFT($AG98,3)="Res",IF(OR($DO98&gt;External_Threshold,$DE98&gt;0),1*Uplift*AWE*(External),0),0)</f>
        <v>15481.186685962373</v>
      </c>
      <c r="EM98" s="200">
        <f t="shared" si="1062"/>
        <v>1</v>
      </c>
      <c r="EN98" s="201">
        <f t="shared" si="1063"/>
        <v>0</v>
      </c>
      <c r="EO98" s="203">
        <f t="shared" si="1157"/>
        <v>0</v>
      </c>
      <c r="EP98" s="199">
        <f t="shared" ca="1" si="1064"/>
        <v>170747.16835504101</v>
      </c>
      <c r="EQ98" s="200">
        <f t="shared" si="1065"/>
        <v>1</v>
      </c>
      <c r="ER98" s="201">
        <f t="shared" ca="1" si="1066"/>
        <v>127739.70597228337</v>
      </c>
      <c r="ES98" s="200">
        <f t="shared" si="1067"/>
        <v>1</v>
      </c>
      <c r="ET98" s="201" cm="1">
        <f t="array" ref="ET98">IF(LEFT($AG98,3)="Res",IF(OR($DP98&gt;External_Threshold,$DF98&gt;0),1*Uplift*AWE*(External),0),0)</f>
        <v>15481.186685962373</v>
      </c>
      <c r="EU98" s="200">
        <f t="shared" si="1068"/>
        <v>1</v>
      </c>
      <c r="EV98" s="201">
        <f t="shared" si="1069"/>
        <v>0</v>
      </c>
      <c r="EW98" s="203">
        <f t="shared" si="1158"/>
        <v>0</v>
      </c>
      <c r="EX98" s="199">
        <f t="shared" ca="1" si="1070"/>
        <v>153536.21707670044</v>
      </c>
      <c r="EY98" s="200">
        <f t="shared" si="1071"/>
        <v>1</v>
      </c>
      <c r="EZ98" s="201">
        <f t="shared" ca="1" si="1072"/>
        <v>126060.04527127574</v>
      </c>
      <c r="FA98" s="200">
        <f t="shared" si="1073"/>
        <v>1</v>
      </c>
      <c r="FB98" s="201" cm="1">
        <f t="array" ref="FB98">IF(LEFT($AG98,3)="Res",IF(OR($DQ98&gt;External_Threshold,$DG98&gt;0),1*Uplift*AWE*(External),0),0)</f>
        <v>15481.186685962373</v>
      </c>
      <c r="FC98" s="200">
        <f t="shared" si="1074"/>
        <v>1</v>
      </c>
      <c r="FD98" s="201">
        <f t="shared" si="1075"/>
        <v>0</v>
      </c>
      <c r="FE98" s="203">
        <f t="shared" si="1159"/>
        <v>0</v>
      </c>
      <c r="FF98" s="199">
        <f t="shared" ca="1" si="1076"/>
        <v>147814.37047756877</v>
      </c>
      <c r="FG98" s="200">
        <f t="shared" si="1077"/>
        <v>1</v>
      </c>
      <c r="FH98" s="201">
        <f t="shared" ca="1" si="1078"/>
        <v>120417.76015932886</v>
      </c>
      <c r="FI98" s="200">
        <f t="shared" si="1079"/>
        <v>1</v>
      </c>
      <c r="FJ98" s="201" cm="1">
        <f t="array" ref="FJ98">IF(LEFT($AG98,3)="Res",IF(OR($DR98&gt;External_Threshold,$DH98&gt;0),1*Uplift*AWE*(External),0),0)</f>
        <v>15481.186685962373</v>
      </c>
      <c r="FK98" s="200">
        <f t="shared" si="1080"/>
        <v>1</v>
      </c>
      <c r="FL98" s="201">
        <f t="shared" si="1081"/>
        <v>0</v>
      </c>
      <c r="FM98" s="203">
        <f t="shared" si="1160"/>
        <v>0</v>
      </c>
      <c r="FN98" s="199">
        <f t="shared" ca="1" si="1082"/>
        <v>122066.06078147615</v>
      </c>
      <c r="FO98" s="200">
        <f t="shared" si="1083"/>
        <v>1</v>
      </c>
      <c r="FP98" s="201">
        <f t="shared" ca="1" si="1084"/>
        <v>112277.23979903357</v>
      </c>
      <c r="FQ98" s="200">
        <f t="shared" si="1085"/>
        <v>1</v>
      </c>
      <c r="FR98" s="201" cm="1">
        <f t="array" ref="FR98">IF(LEFT($AG98,3)="Res",IF(OR($DS98&gt;External_Threshold,$DI98&gt;0),1*Uplift*AWE*(External),0),0)</f>
        <v>15481.186685962373</v>
      </c>
      <c r="FS98" s="200">
        <f t="shared" si="1086"/>
        <v>1</v>
      </c>
      <c r="FT98" s="201">
        <f t="shared" si="1087"/>
        <v>0</v>
      </c>
      <c r="FU98" s="203">
        <f t="shared" si="1161"/>
        <v>0</v>
      </c>
      <c r="FV98" s="199">
        <f t="shared" ca="1" si="1088"/>
        <v>106546.68716835506</v>
      </c>
      <c r="FW98" s="200">
        <f t="shared" si="1089"/>
        <v>1</v>
      </c>
      <c r="FX98" s="201">
        <f t="shared" ca="1" si="1090"/>
        <v>58899.875555154351</v>
      </c>
      <c r="FY98" s="200">
        <f t="shared" si="1091"/>
        <v>1</v>
      </c>
      <c r="FZ98" s="201" cm="1">
        <f t="array" ref="FZ98">IF(LEFT($AG98,3)="Res",IF(OR($DT98&gt;External_Threshold,$DJ98&gt;0),1*Uplift*AWE*(External),0),0)</f>
        <v>15481.186685962373</v>
      </c>
      <c r="GA98" s="200">
        <f t="shared" si="1092"/>
        <v>1</v>
      </c>
      <c r="GB98" s="201">
        <f t="shared" si="1093"/>
        <v>0</v>
      </c>
      <c r="GC98" s="203">
        <f t="shared" si="1162"/>
        <v>0</v>
      </c>
      <c r="GD98" s="199">
        <f t="shared" ca="1" si="1094"/>
        <v>0</v>
      </c>
      <c r="GE98" s="200">
        <f t="shared" si="1095"/>
        <v>0</v>
      </c>
      <c r="GF98" s="201">
        <f t="shared" ca="1" si="1096"/>
        <v>0</v>
      </c>
      <c r="GG98" s="200">
        <f t="shared" si="1097"/>
        <v>0</v>
      </c>
      <c r="GH98" s="201" cm="1">
        <f t="array" ref="GH98">IF(LEFT($AG98,3)="Res",IF(OR($DU98&gt;External_Threshold,$DK98&gt;0),1*Uplift*AWE*(External),0),0)</f>
        <v>0</v>
      </c>
      <c r="GI98" s="200">
        <f t="shared" si="1098"/>
        <v>0</v>
      </c>
      <c r="GJ98" s="201">
        <f t="shared" si="1099"/>
        <v>0</v>
      </c>
      <c r="GK98" s="203">
        <f t="shared" si="1163"/>
        <v>0</v>
      </c>
      <c r="GL98" s="199">
        <f t="shared" ca="1" si="1100"/>
        <v>0</v>
      </c>
      <c r="GM98" s="200">
        <f t="shared" si="1101"/>
        <v>0</v>
      </c>
      <c r="GN98" s="201">
        <f t="shared" ca="1" si="1102"/>
        <v>0</v>
      </c>
      <c r="GO98" s="200">
        <f t="shared" si="1103"/>
        <v>0</v>
      </c>
      <c r="GP98" s="201" cm="1">
        <f t="array" ref="GP98">IF(LEFT($AG98,3)="Res",IF(OR($DV98&gt;External_Threshold,$DL98&gt;0),1*Uplift*AWE*(External),0),0)</f>
        <v>0</v>
      </c>
      <c r="GQ98" s="200">
        <f t="shared" si="1104"/>
        <v>0</v>
      </c>
      <c r="GR98" s="201">
        <f t="shared" si="1105"/>
        <v>0</v>
      </c>
      <c r="GS98" s="203">
        <f t="shared" si="1164"/>
        <v>0</v>
      </c>
      <c r="GT98" s="199">
        <f t="shared" ca="1" si="1106"/>
        <v>0</v>
      </c>
      <c r="GU98" s="200">
        <f t="shared" si="1107"/>
        <v>0</v>
      </c>
      <c r="GV98" s="201">
        <f t="shared" ca="1" si="1108"/>
        <v>0</v>
      </c>
      <c r="GW98" s="200">
        <f t="shared" si="1109"/>
        <v>0</v>
      </c>
      <c r="GX98" s="201" cm="1">
        <f t="array" ref="GX98">IF(LEFT($AG98,3)="Res",IF(OR($DW98&gt;External_Threshold,$DM98&gt;0),1*Uplift*AWE*(External),0),0)</f>
        <v>0</v>
      </c>
      <c r="GY98" s="200">
        <f t="shared" si="1110"/>
        <v>0</v>
      </c>
      <c r="GZ98" s="201">
        <f t="shared" si="1111"/>
        <v>0</v>
      </c>
      <c r="HA98" s="203">
        <f t="shared" si="1165"/>
        <v>0</v>
      </c>
      <c r="HB98" s="54"/>
      <c r="HC98" s="54"/>
      <c r="HD98" s="54"/>
      <c r="HE98" s="54"/>
      <c r="HF98" s="54"/>
      <c r="HG98" s="201">
        <f t="shared" ca="1" si="1166"/>
        <v>353967.53706779255</v>
      </c>
      <c r="HH98" s="201">
        <f t="shared" ca="1" si="1167"/>
        <v>334145.42563508637</v>
      </c>
      <c r="HI98" s="201">
        <f t="shared" ca="1" si="1168"/>
        <v>313968.06101328676</v>
      </c>
      <c r="HJ98" s="201">
        <f t="shared" ca="1" si="1169"/>
        <v>295077.44903393858</v>
      </c>
      <c r="HK98" s="201">
        <f t="shared" ca="1" si="1170"/>
        <v>283713.31732286001</v>
      </c>
      <c r="HL98" s="201">
        <f t="shared" ca="1" si="1171"/>
        <v>249824.48726647208</v>
      </c>
      <c r="HM98" s="201">
        <f t="shared" ca="1" si="1172"/>
        <v>180927.74940947178</v>
      </c>
      <c r="HN98" s="201">
        <f t="shared" ca="1" si="1173"/>
        <v>0</v>
      </c>
      <c r="HO98" s="201">
        <f t="shared" ca="1" si="1174"/>
        <v>0</v>
      </c>
      <c r="HP98" s="201">
        <f t="shared" ca="1" si="1175"/>
        <v>0</v>
      </c>
      <c r="HQ98" s="54"/>
    </row>
    <row r="99" spans="1:225" x14ac:dyDescent="0.3">
      <c r="A99" s="513">
        <v>81</v>
      </c>
      <c r="B99" s="514" t="s">
        <v>504</v>
      </c>
      <c r="C99" s="514" t="s">
        <v>390</v>
      </c>
      <c r="D99" s="514" t="s">
        <v>390</v>
      </c>
      <c r="E99" s="513">
        <v>1</v>
      </c>
      <c r="F99" s="515">
        <v>6.88</v>
      </c>
      <c r="G99" s="515">
        <v>6.55</v>
      </c>
      <c r="H99" s="513">
        <v>2</v>
      </c>
      <c r="I99" s="517">
        <v>1</v>
      </c>
      <c r="J99" s="518" t="s">
        <v>137</v>
      </c>
      <c r="K99" s="513">
        <f t="shared" si="1044"/>
        <v>160</v>
      </c>
      <c r="L99" s="519">
        <v>7.6</v>
      </c>
      <c r="M99" s="519">
        <v>6.5299999999999994</v>
      </c>
      <c r="N99" s="519">
        <v>6.2299999999999995</v>
      </c>
      <c r="O99" s="519">
        <v>5.93</v>
      </c>
      <c r="P99" s="519">
        <v>5.47</v>
      </c>
      <c r="Q99" s="519">
        <v>5</v>
      </c>
      <c r="R99" s="519">
        <v>4.2</v>
      </c>
      <c r="S99" s="519">
        <v>0</v>
      </c>
      <c r="T99" s="519">
        <v>0</v>
      </c>
      <c r="U99" s="519">
        <v>0</v>
      </c>
      <c r="V99" s="536"/>
      <c r="W99" s="536"/>
      <c r="X99" s="536"/>
      <c r="Y99" s="536"/>
      <c r="Z99" s="536"/>
      <c r="AA99" s="536"/>
      <c r="AB99" s="536"/>
      <c r="AC99" s="536"/>
      <c r="AD99" s="536"/>
      <c r="AE99" s="536"/>
      <c r="AF99" s="54"/>
      <c r="AG99" s="204" t="str">
        <f t="shared" si="1253"/>
        <v>Res1</v>
      </c>
      <c r="AH99" s="204">
        <f t="shared" si="1112"/>
        <v>7</v>
      </c>
      <c r="AI99" s="204">
        <f t="shared" si="1045"/>
        <v>1</v>
      </c>
      <c r="AJ99" s="54"/>
      <c r="AK99" s="74">
        <f>IFERROR(IF(H99&gt;4,0,AI99*Inputs!$C$55),0)</f>
        <v>2.6</v>
      </c>
      <c r="AL99" s="81">
        <f>IFERROR(Inputs!$C$73,0)</f>
        <v>5</v>
      </c>
      <c r="AM99" s="211">
        <f>IFERROR(Inputs!$C$74,0)</f>
        <v>0.24299999999999999</v>
      </c>
      <c r="AN99" s="446">
        <f>IFERROR(HLOOKUP(HLOOKUP(AN$17,$V$18:$AE99,COUNTA($AK$18:$AK99),FALSE),Inputs!$B$58:$H$59,2,FALSE),0)</f>
        <v>0</v>
      </c>
      <c r="AO99" s="447">
        <f t="shared" si="1113"/>
        <v>0</v>
      </c>
      <c r="AP99" s="447">
        <f t="shared" si="1114"/>
        <v>0</v>
      </c>
      <c r="AQ99" s="446">
        <f>IFERROR(HLOOKUP(HLOOKUP(AQ$17,$V$18:$AE99,COUNTA($AK$18:$AK99),FALSE),Inputs!$B$58:$H$59,2,FALSE),0)</f>
        <v>0</v>
      </c>
      <c r="AR99" s="447">
        <f t="shared" ref="AR99" si="1308">2*$AK99*AQ99*$AL99/100*$AM99</f>
        <v>0</v>
      </c>
      <c r="AS99" s="447">
        <f t="shared" si="1116"/>
        <v>0</v>
      </c>
      <c r="AT99" s="446">
        <f>IFERROR(HLOOKUP(HLOOKUP(AT$17,$V$18:$AE99,COUNTA($AK$18:$AK99),FALSE),Inputs!$B$58:$H$59,2,FALSE),0)</f>
        <v>0</v>
      </c>
      <c r="AU99" s="447">
        <f t="shared" ref="AU99" si="1309">2*$AK99*AT99*$AL99/100*$AM99</f>
        <v>0</v>
      </c>
      <c r="AV99" s="447">
        <f t="shared" si="1118"/>
        <v>0</v>
      </c>
      <c r="AW99" s="446">
        <f>IFERROR(HLOOKUP(HLOOKUP(AW$17,$V$18:$AE99,COUNTA($AK$18:$AK99),FALSE),Inputs!$B$58:$H$59,2,FALSE),0)</f>
        <v>0</v>
      </c>
      <c r="AX99" s="447">
        <f t="shared" ref="AX99" si="1310">2*$AK99*AW99*$AL99/100*$AM99</f>
        <v>0</v>
      </c>
      <c r="AY99" s="447">
        <f t="shared" si="1120"/>
        <v>0</v>
      </c>
      <c r="AZ99" s="446">
        <f>IFERROR(HLOOKUP(HLOOKUP(AZ$17,$V$18:$AE99,COUNTA($AK$18:$AK99),FALSE),Inputs!$B$58:$H$59,2,FALSE),0)</f>
        <v>0</v>
      </c>
      <c r="BA99" s="447">
        <f t="shared" ref="BA99" si="1311">2*$AK99*AZ99*$AL99/100*$AM99</f>
        <v>0</v>
      </c>
      <c r="BB99" s="447">
        <f t="shared" si="1122"/>
        <v>0</v>
      </c>
      <c r="BC99" s="446">
        <f>IFERROR(HLOOKUP(HLOOKUP(BC$17,$V$18:$AE99,COUNTA($AK$18:$AK99),FALSE),Inputs!$B$58:$H$59,2,FALSE),0)</f>
        <v>0</v>
      </c>
      <c r="BD99" s="447">
        <f t="shared" ref="BD99" si="1312">2*$AK99*BC99*$AL99/100*$AM99</f>
        <v>0</v>
      </c>
      <c r="BE99" s="447">
        <f t="shared" si="1124"/>
        <v>0</v>
      </c>
      <c r="BF99" s="446">
        <f>IFERROR(HLOOKUP(HLOOKUP(BF$17,$V$18:$AE99,COUNTA($AK$18:$AK99),FALSE),Inputs!$B$58:$H$59,2,FALSE),0)</f>
        <v>0</v>
      </c>
      <c r="BG99" s="447">
        <f t="shared" ref="BG99" si="1313">2*$AK99*BF99*$AL99/100*$AM99</f>
        <v>0</v>
      </c>
      <c r="BH99" s="447">
        <f t="shared" si="1126"/>
        <v>0</v>
      </c>
      <c r="BI99" s="446">
        <f>IFERROR(HLOOKUP(HLOOKUP(BI$17,$V$18:$AE99,COUNTA($AK$18:$AK99),FALSE),Inputs!$B$58:$H$59,2,FALSE),0)</f>
        <v>0</v>
      </c>
      <c r="BJ99" s="447">
        <f t="shared" ref="BJ99" si="1314">2*$AK99*BI99*$AL99/100*$AM99</f>
        <v>0</v>
      </c>
      <c r="BK99" s="447">
        <f t="shared" si="1128"/>
        <v>0</v>
      </c>
      <c r="BL99" s="446">
        <f>IFERROR(HLOOKUP(HLOOKUP(BL$17,$V$18:$AE99,COUNTA($AK$18:$AK99),FALSE),Inputs!$B$58:$H$59,2,FALSE),0)</f>
        <v>0</v>
      </c>
      <c r="BM99" s="447">
        <f t="shared" ref="BM99" si="1315">2*$AK99*BL99*$AL99/100*$AM99</f>
        <v>0</v>
      </c>
      <c r="BN99" s="447">
        <f t="shared" si="1130"/>
        <v>0</v>
      </c>
      <c r="BO99" s="446">
        <f>IFERROR(HLOOKUP(HLOOKUP(BO$17,$V$18:$AE99,COUNTA($AK$18:$AK99),FALSE),Inputs!$B$58:$H$59,2,FALSE),0)</f>
        <v>0</v>
      </c>
      <c r="BP99" s="447">
        <f t="shared" ref="BP99" si="1316">2*$AK99*BO99*$AL99/100*$AM99</f>
        <v>0</v>
      </c>
      <c r="BQ99" s="447">
        <f t="shared" si="1132"/>
        <v>0</v>
      </c>
      <c r="BR99" s="54"/>
      <c r="BS99" s="103">
        <f t="shared" ca="1" si="1203"/>
        <v>103.13344673178968</v>
      </c>
      <c r="BT99" s="103">
        <f t="shared" ca="1" si="1204"/>
        <v>82.647313709193298</v>
      </c>
      <c r="BU99" s="103">
        <f t="shared" si="1205"/>
        <v>15.403780752532562</v>
      </c>
      <c r="BV99" s="103">
        <f t="shared" si="1206"/>
        <v>0</v>
      </c>
      <c r="BW99" s="152">
        <f t="shared" ca="1" si="1207"/>
        <v>201.18454119351554</v>
      </c>
      <c r="BX99" s="441"/>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188">
        <f t="shared" si="1133"/>
        <v>0.71999999999999975</v>
      </c>
      <c r="DE99" s="188">
        <f t="shared" si="1134"/>
        <v>-0.3</v>
      </c>
      <c r="DF99" s="188">
        <f t="shared" si="1135"/>
        <v>-0.3</v>
      </c>
      <c r="DG99" s="188">
        <f t="shared" si="1136"/>
        <v>-0.3</v>
      </c>
      <c r="DH99" s="188">
        <f t="shared" si="1137"/>
        <v>-0.3</v>
      </c>
      <c r="DI99" s="188">
        <f t="shared" si="1138"/>
        <v>-0.3</v>
      </c>
      <c r="DJ99" s="188">
        <f t="shared" si="1139"/>
        <v>-0.3</v>
      </c>
      <c r="DK99" s="188">
        <f t="shared" si="1140"/>
        <v>-0.3</v>
      </c>
      <c r="DL99" s="188">
        <f t="shared" si="1141"/>
        <v>-0.3</v>
      </c>
      <c r="DM99" s="188">
        <f t="shared" si="1142"/>
        <v>-0.3</v>
      </c>
      <c r="DN99" s="189">
        <f t="shared" si="1143"/>
        <v>1.0499999999999998</v>
      </c>
      <c r="DO99" s="189">
        <f t="shared" si="1144"/>
        <v>0</v>
      </c>
      <c r="DP99" s="189">
        <f t="shared" si="1145"/>
        <v>0</v>
      </c>
      <c r="DQ99" s="189">
        <f t="shared" si="1146"/>
        <v>0</v>
      </c>
      <c r="DR99" s="189">
        <f t="shared" si="1147"/>
        <v>0</v>
      </c>
      <c r="DS99" s="189">
        <f t="shared" si="1148"/>
        <v>0</v>
      </c>
      <c r="DT99" s="189">
        <f t="shared" si="1149"/>
        <v>0</v>
      </c>
      <c r="DU99" s="189">
        <f t="shared" si="1150"/>
        <v>0</v>
      </c>
      <c r="DV99" s="189">
        <f t="shared" si="1151"/>
        <v>0</v>
      </c>
      <c r="DW99" s="189">
        <f t="shared" si="1152"/>
        <v>0</v>
      </c>
      <c r="DX99" s="54"/>
      <c r="DY99" s="54"/>
      <c r="DZ99" s="199">
        <f t="shared" ca="1" si="1055"/>
        <v>103651.70525808008</v>
      </c>
      <c r="EA99" s="200">
        <f t="shared" si="1153"/>
        <v>1</v>
      </c>
      <c r="EB99" s="201">
        <f t="shared" ca="1" si="1056"/>
        <v>83062.626843410355</v>
      </c>
      <c r="EC99" s="200">
        <f t="shared" si="1154"/>
        <v>1</v>
      </c>
      <c r="ED99" s="201" cm="1">
        <f t="array" ref="ED99">IF(LEFT($AG99,3)="Res",IF(OR($DN99&gt;External_Threshold,$DD99&gt;0),1*Uplift*AWE*(External),0),0)</f>
        <v>15481.186685962373</v>
      </c>
      <c r="EE99" s="200">
        <f t="shared" si="1155"/>
        <v>1</v>
      </c>
      <c r="EF99" s="201">
        <f t="shared" si="1057"/>
        <v>0</v>
      </c>
      <c r="EG99" s="203">
        <f t="shared" si="1156"/>
        <v>0</v>
      </c>
      <c r="EH99" s="199">
        <f t="shared" ca="1" si="1058"/>
        <v>0</v>
      </c>
      <c r="EI99" s="200">
        <f t="shared" si="1059"/>
        <v>0</v>
      </c>
      <c r="EJ99" s="201">
        <f t="shared" ca="1" si="1060"/>
        <v>0</v>
      </c>
      <c r="EK99" s="200">
        <f t="shared" si="1061"/>
        <v>0</v>
      </c>
      <c r="EL99" s="201" cm="1">
        <f t="array" ref="EL99">IF(LEFT($AG99,3)="Res",IF(OR($DO99&gt;External_Threshold,$DE99&gt;0),1*Uplift*AWE*(External),0),0)</f>
        <v>0</v>
      </c>
      <c r="EM99" s="200">
        <f t="shared" si="1062"/>
        <v>0</v>
      </c>
      <c r="EN99" s="201">
        <f t="shared" si="1063"/>
        <v>0</v>
      </c>
      <c r="EO99" s="203">
        <f t="shared" si="1157"/>
        <v>0</v>
      </c>
      <c r="EP99" s="199">
        <f t="shared" ca="1" si="1064"/>
        <v>0</v>
      </c>
      <c r="EQ99" s="200">
        <f t="shared" si="1065"/>
        <v>0</v>
      </c>
      <c r="ER99" s="201">
        <f t="shared" ca="1" si="1066"/>
        <v>0</v>
      </c>
      <c r="ES99" s="200">
        <f t="shared" si="1067"/>
        <v>0</v>
      </c>
      <c r="ET99" s="201" cm="1">
        <f t="array" ref="ET99">IF(LEFT($AG99,3)="Res",IF(OR($DP99&gt;External_Threshold,$DF99&gt;0),1*Uplift*AWE*(External),0),0)</f>
        <v>0</v>
      </c>
      <c r="EU99" s="200">
        <f t="shared" si="1068"/>
        <v>0</v>
      </c>
      <c r="EV99" s="201">
        <f t="shared" si="1069"/>
        <v>0</v>
      </c>
      <c r="EW99" s="203">
        <f t="shared" si="1158"/>
        <v>0</v>
      </c>
      <c r="EX99" s="199">
        <f t="shared" ca="1" si="1070"/>
        <v>0</v>
      </c>
      <c r="EY99" s="200">
        <f t="shared" si="1071"/>
        <v>0</v>
      </c>
      <c r="EZ99" s="201">
        <f t="shared" ca="1" si="1072"/>
        <v>0</v>
      </c>
      <c r="FA99" s="200">
        <f t="shared" si="1073"/>
        <v>0</v>
      </c>
      <c r="FB99" s="201" cm="1">
        <f t="array" ref="FB99">IF(LEFT($AG99,3)="Res",IF(OR($DQ99&gt;External_Threshold,$DG99&gt;0),1*Uplift*AWE*(External),0),0)</f>
        <v>0</v>
      </c>
      <c r="FC99" s="200">
        <f t="shared" si="1074"/>
        <v>0</v>
      </c>
      <c r="FD99" s="201">
        <f t="shared" si="1075"/>
        <v>0</v>
      </c>
      <c r="FE99" s="203">
        <f t="shared" si="1159"/>
        <v>0</v>
      </c>
      <c r="FF99" s="199">
        <f t="shared" ca="1" si="1076"/>
        <v>0</v>
      </c>
      <c r="FG99" s="200">
        <f t="shared" si="1077"/>
        <v>0</v>
      </c>
      <c r="FH99" s="201">
        <f t="shared" ca="1" si="1078"/>
        <v>0</v>
      </c>
      <c r="FI99" s="200">
        <f t="shared" si="1079"/>
        <v>0</v>
      </c>
      <c r="FJ99" s="201" cm="1">
        <f t="array" ref="FJ99">IF(LEFT($AG99,3)="Res",IF(OR($DR99&gt;External_Threshold,$DH99&gt;0),1*Uplift*AWE*(External),0),0)</f>
        <v>0</v>
      </c>
      <c r="FK99" s="200">
        <f t="shared" si="1080"/>
        <v>0</v>
      </c>
      <c r="FL99" s="201">
        <f t="shared" si="1081"/>
        <v>0</v>
      </c>
      <c r="FM99" s="203">
        <f t="shared" si="1160"/>
        <v>0</v>
      </c>
      <c r="FN99" s="199">
        <f t="shared" ca="1" si="1082"/>
        <v>0</v>
      </c>
      <c r="FO99" s="200">
        <f t="shared" si="1083"/>
        <v>0</v>
      </c>
      <c r="FP99" s="201">
        <f t="shared" ca="1" si="1084"/>
        <v>0</v>
      </c>
      <c r="FQ99" s="200">
        <f t="shared" si="1085"/>
        <v>0</v>
      </c>
      <c r="FR99" s="201" cm="1">
        <f t="array" ref="FR99">IF(LEFT($AG99,3)="Res",IF(OR($DS99&gt;External_Threshold,$DI99&gt;0),1*Uplift*AWE*(External),0),0)</f>
        <v>0</v>
      </c>
      <c r="FS99" s="200">
        <f t="shared" si="1086"/>
        <v>0</v>
      </c>
      <c r="FT99" s="201">
        <f t="shared" si="1087"/>
        <v>0</v>
      </c>
      <c r="FU99" s="203">
        <f t="shared" si="1161"/>
        <v>0</v>
      </c>
      <c r="FV99" s="199">
        <f t="shared" ca="1" si="1088"/>
        <v>0</v>
      </c>
      <c r="FW99" s="200">
        <f t="shared" si="1089"/>
        <v>0</v>
      </c>
      <c r="FX99" s="201">
        <f t="shared" ca="1" si="1090"/>
        <v>0</v>
      </c>
      <c r="FY99" s="200">
        <f t="shared" si="1091"/>
        <v>0</v>
      </c>
      <c r="FZ99" s="201" cm="1">
        <f t="array" ref="FZ99">IF(LEFT($AG99,3)="Res",IF(OR($DT99&gt;External_Threshold,$DJ99&gt;0),1*Uplift*AWE*(External),0),0)</f>
        <v>0</v>
      </c>
      <c r="GA99" s="200">
        <f t="shared" si="1092"/>
        <v>0</v>
      </c>
      <c r="GB99" s="201">
        <f t="shared" si="1093"/>
        <v>0</v>
      </c>
      <c r="GC99" s="203">
        <f t="shared" si="1162"/>
        <v>0</v>
      </c>
      <c r="GD99" s="199">
        <f t="shared" ca="1" si="1094"/>
        <v>0</v>
      </c>
      <c r="GE99" s="200">
        <f t="shared" si="1095"/>
        <v>0</v>
      </c>
      <c r="GF99" s="201">
        <f t="shared" ca="1" si="1096"/>
        <v>0</v>
      </c>
      <c r="GG99" s="200">
        <f t="shared" si="1097"/>
        <v>0</v>
      </c>
      <c r="GH99" s="201" cm="1">
        <f t="array" ref="GH99">IF(LEFT($AG99,3)="Res",IF(OR($DU99&gt;External_Threshold,$DK99&gt;0),1*Uplift*AWE*(External),0),0)</f>
        <v>0</v>
      </c>
      <c r="GI99" s="200">
        <f t="shared" si="1098"/>
        <v>0</v>
      </c>
      <c r="GJ99" s="201">
        <f t="shared" si="1099"/>
        <v>0</v>
      </c>
      <c r="GK99" s="203">
        <f t="shared" si="1163"/>
        <v>0</v>
      </c>
      <c r="GL99" s="199">
        <f t="shared" ca="1" si="1100"/>
        <v>0</v>
      </c>
      <c r="GM99" s="200">
        <f t="shared" si="1101"/>
        <v>0</v>
      </c>
      <c r="GN99" s="201">
        <f t="shared" ca="1" si="1102"/>
        <v>0</v>
      </c>
      <c r="GO99" s="200">
        <f t="shared" si="1103"/>
        <v>0</v>
      </c>
      <c r="GP99" s="201" cm="1">
        <f t="array" ref="GP99">IF(LEFT($AG99,3)="Res",IF(OR($DV99&gt;External_Threshold,$DL99&gt;0),1*Uplift*AWE*(External),0),0)</f>
        <v>0</v>
      </c>
      <c r="GQ99" s="200">
        <f t="shared" si="1104"/>
        <v>0</v>
      </c>
      <c r="GR99" s="201">
        <f t="shared" si="1105"/>
        <v>0</v>
      </c>
      <c r="GS99" s="203">
        <f t="shared" si="1164"/>
        <v>0</v>
      </c>
      <c r="GT99" s="199">
        <f t="shared" ca="1" si="1106"/>
        <v>0</v>
      </c>
      <c r="GU99" s="200">
        <f t="shared" si="1107"/>
        <v>0</v>
      </c>
      <c r="GV99" s="201">
        <f t="shared" ca="1" si="1108"/>
        <v>0</v>
      </c>
      <c r="GW99" s="200">
        <f t="shared" si="1109"/>
        <v>0</v>
      </c>
      <c r="GX99" s="201" cm="1">
        <f t="array" ref="GX99">IF(LEFT($AG99,3)="Res",IF(OR($DW99&gt;External_Threshold,$DM99&gt;0),1*Uplift*AWE*(External),0),0)</f>
        <v>0</v>
      </c>
      <c r="GY99" s="200">
        <f t="shared" si="1110"/>
        <v>0</v>
      </c>
      <c r="GZ99" s="201">
        <f t="shared" si="1111"/>
        <v>0</v>
      </c>
      <c r="HA99" s="203">
        <f t="shared" si="1165"/>
        <v>0</v>
      </c>
      <c r="HB99" s="54"/>
      <c r="HC99" s="54"/>
      <c r="HD99" s="54"/>
      <c r="HE99" s="54"/>
      <c r="HF99" s="54"/>
      <c r="HG99" s="201">
        <f t="shared" ca="1" si="1166"/>
        <v>202195.51878745281</v>
      </c>
      <c r="HH99" s="201">
        <f t="shared" ca="1" si="1167"/>
        <v>0</v>
      </c>
      <c r="HI99" s="201">
        <f t="shared" ca="1" si="1168"/>
        <v>0</v>
      </c>
      <c r="HJ99" s="201">
        <f t="shared" ca="1" si="1169"/>
        <v>0</v>
      </c>
      <c r="HK99" s="201">
        <f t="shared" ca="1" si="1170"/>
        <v>0</v>
      </c>
      <c r="HL99" s="201">
        <f t="shared" ca="1" si="1171"/>
        <v>0</v>
      </c>
      <c r="HM99" s="201">
        <f t="shared" ca="1" si="1172"/>
        <v>0</v>
      </c>
      <c r="HN99" s="201">
        <f t="shared" ca="1" si="1173"/>
        <v>0</v>
      </c>
      <c r="HO99" s="201">
        <f t="shared" ca="1" si="1174"/>
        <v>0</v>
      </c>
      <c r="HP99" s="201">
        <f t="shared" ca="1" si="1175"/>
        <v>0</v>
      </c>
      <c r="HQ99" s="54"/>
    </row>
    <row r="100" spans="1:225" x14ac:dyDescent="0.3">
      <c r="A100" s="513">
        <v>82</v>
      </c>
      <c r="B100" s="514" t="s">
        <v>505</v>
      </c>
      <c r="C100" s="514" t="s">
        <v>390</v>
      </c>
      <c r="D100" s="514" t="s">
        <v>390</v>
      </c>
      <c r="E100" s="513">
        <v>1</v>
      </c>
      <c r="F100" s="515">
        <v>7.62</v>
      </c>
      <c r="G100" s="515">
        <v>6.93</v>
      </c>
      <c r="H100" s="513">
        <v>1</v>
      </c>
      <c r="I100" s="517">
        <v>1</v>
      </c>
      <c r="J100" s="518" t="s">
        <v>295</v>
      </c>
      <c r="K100" s="513">
        <f t="shared" si="1044"/>
        <v>220</v>
      </c>
      <c r="L100" s="519">
        <v>7.82</v>
      </c>
      <c r="M100" s="519">
        <v>6.5299999999999994</v>
      </c>
      <c r="N100" s="519">
        <v>6.2299999999999995</v>
      </c>
      <c r="O100" s="519">
        <v>5.93</v>
      </c>
      <c r="P100" s="519">
        <v>5.47</v>
      </c>
      <c r="Q100" s="519">
        <v>5</v>
      </c>
      <c r="R100" s="519">
        <v>4.2</v>
      </c>
      <c r="S100" s="519">
        <v>0</v>
      </c>
      <c r="T100" s="519">
        <v>0</v>
      </c>
      <c r="U100" s="519">
        <v>0</v>
      </c>
      <c r="V100" s="536"/>
      <c r="W100" s="536"/>
      <c r="X100" s="536"/>
      <c r="Y100" s="536"/>
      <c r="Z100" s="536"/>
      <c r="AA100" s="536"/>
      <c r="AB100" s="536"/>
      <c r="AC100" s="536"/>
      <c r="AD100" s="536"/>
      <c r="AE100" s="536"/>
      <c r="AF100" s="54"/>
      <c r="AG100" s="204" t="str">
        <f t="shared" si="1253"/>
        <v>Res1</v>
      </c>
      <c r="AH100" s="204">
        <f t="shared" si="1112"/>
        <v>6</v>
      </c>
      <c r="AI100" s="204">
        <f t="shared" si="1045"/>
        <v>1</v>
      </c>
      <c r="AJ100" s="54"/>
      <c r="AK100" s="74">
        <f>IFERROR(IF(H100&gt;4,0,AI100*Inputs!$C$55),0)</f>
        <v>2.6</v>
      </c>
      <c r="AL100" s="81">
        <f>IFERROR(Inputs!$C$73,0)</f>
        <v>5</v>
      </c>
      <c r="AM100" s="211">
        <f>IFERROR(Inputs!$C$74,0)</f>
        <v>0.24299999999999999</v>
      </c>
      <c r="AN100" s="446">
        <f>IFERROR(HLOOKUP(HLOOKUP(AN$17,$V$18:$AE100,COUNTA($AK$18:$AK100),FALSE),Inputs!$B$58:$H$59,2,FALSE),0)</f>
        <v>0</v>
      </c>
      <c r="AO100" s="447">
        <f t="shared" si="1113"/>
        <v>0</v>
      </c>
      <c r="AP100" s="447">
        <f t="shared" si="1114"/>
        <v>0</v>
      </c>
      <c r="AQ100" s="446">
        <f>IFERROR(HLOOKUP(HLOOKUP(AQ$17,$V$18:$AE100,COUNTA($AK$18:$AK100),FALSE),Inputs!$B$58:$H$59,2,FALSE),0)</f>
        <v>0</v>
      </c>
      <c r="AR100" s="447">
        <f t="shared" ref="AR100" si="1317">2*$AK100*AQ100*$AL100/100*$AM100</f>
        <v>0</v>
      </c>
      <c r="AS100" s="447">
        <f t="shared" si="1116"/>
        <v>0</v>
      </c>
      <c r="AT100" s="446">
        <f>IFERROR(HLOOKUP(HLOOKUP(AT$17,$V$18:$AE100,COUNTA($AK$18:$AK100),FALSE),Inputs!$B$58:$H$59,2,FALSE),0)</f>
        <v>0</v>
      </c>
      <c r="AU100" s="447">
        <f t="shared" ref="AU100" si="1318">2*$AK100*AT100*$AL100/100*$AM100</f>
        <v>0</v>
      </c>
      <c r="AV100" s="447">
        <f t="shared" si="1118"/>
        <v>0</v>
      </c>
      <c r="AW100" s="446">
        <f>IFERROR(HLOOKUP(HLOOKUP(AW$17,$V$18:$AE100,COUNTA($AK$18:$AK100),FALSE),Inputs!$B$58:$H$59,2,FALSE),0)</f>
        <v>0</v>
      </c>
      <c r="AX100" s="447">
        <f t="shared" ref="AX100" si="1319">2*$AK100*AW100*$AL100/100*$AM100</f>
        <v>0</v>
      </c>
      <c r="AY100" s="447">
        <f t="shared" si="1120"/>
        <v>0</v>
      </c>
      <c r="AZ100" s="446">
        <f>IFERROR(HLOOKUP(HLOOKUP(AZ$17,$V$18:$AE100,COUNTA($AK$18:$AK100),FALSE),Inputs!$B$58:$H$59,2,FALSE),0)</f>
        <v>0</v>
      </c>
      <c r="BA100" s="447">
        <f t="shared" ref="BA100" si="1320">2*$AK100*AZ100*$AL100/100*$AM100</f>
        <v>0</v>
      </c>
      <c r="BB100" s="447">
        <f t="shared" si="1122"/>
        <v>0</v>
      </c>
      <c r="BC100" s="446">
        <f>IFERROR(HLOOKUP(HLOOKUP(BC$17,$V$18:$AE100,COUNTA($AK$18:$AK100),FALSE),Inputs!$B$58:$H$59,2,FALSE),0)</f>
        <v>0</v>
      </c>
      <c r="BD100" s="447">
        <f t="shared" ref="BD100" si="1321">2*$AK100*BC100*$AL100/100*$AM100</f>
        <v>0</v>
      </c>
      <c r="BE100" s="447">
        <f t="shared" si="1124"/>
        <v>0</v>
      </c>
      <c r="BF100" s="446">
        <f>IFERROR(HLOOKUP(HLOOKUP(BF$17,$V$18:$AE100,COUNTA($AK$18:$AK100),FALSE),Inputs!$B$58:$H$59,2,FALSE),0)</f>
        <v>0</v>
      </c>
      <c r="BG100" s="447">
        <f t="shared" ref="BG100" si="1322">2*$AK100*BF100*$AL100/100*$AM100</f>
        <v>0</v>
      </c>
      <c r="BH100" s="447">
        <f t="shared" si="1126"/>
        <v>0</v>
      </c>
      <c r="BI100" s="446">
        <f>IFERROR(HLOOKUP(HLOOKUP(BI$17,$V$18:$AE100,COUNTA($AK$18:$AK100),FALSE),Inputs!$B$58:$H$59,2,FALSE),0)</f>
        <v>0</v>
      </c>
      <c r="BJ100" s="447">
        <f t="shared" ref="BJ100" si="1323">2*$AK100*BI100*$AL100/100*$AM100</f>
        <v>0</v>
      </c>
      <c r="BK100" s="447">
        <f t="shared" si="1128"/>
        <v>0</v>
      </c>
      <c r="BL100" s="446">
        <f>IFERROR(HLOOKUP(HLOOKUP(BL$17,$V$18:$AE100,COUNTA($AK$18:$AK100),FALSE),Inputs!$B$58:$H$59,2,FALSE),0)</f>
        <v>0</v>
      </c>
      <c r="BM100" s="447">
        <f t="shared" ref="BM100" si="1324">2*$AK100*BL100*$AL100/100*$AM100</f>
        <v>0</v>
      </c>
      <c r="BN100" s="447">
        <f t="shared" si="1130"/>
        <v>0</v>
      </c>
      <c r="BO100" s="446">
        <f>IFERROR(HLOOKUP(HLOOKUP(BO$17,$V$18:$AE100,COUNTA($AK$18:$AK100),FALSE),Inputs!$B$58:$H$59,2,FALSE),0)</f>
        <v>0</v>
      </c>
      <c r="BP100" s="447">
        <f t="shared" ref="BP100" si="1325">2*$AK100*BO100*$AL100/100*$AM100</f>
        <v>0</v>
      </c>
      <c r="BQ100" s="447">
        <f t="shared" si="1132"/>
        <v>0</v>
      </c>
      <c r="BR100" s="54"/>
      <c r="BS100" s="103">
        <f t="shared" ca="1" si="1203"/>
        <v>103.58529096719731</v>
      </c>
      <c r="BT100" s="103">
        <f t="shared" ca="1" si="1204"/>
        <v>48.416600941902878</v>
      </c>
      <c r="BU100" s="103">
        <f t="shared" si="1205"/>
        <v>15.403780752532562</v>
      </c>
      <c r="BV100" s="103">
        <f t="shared" si="1206"/>
        <v>0</v>
      </c>
      <c r="BW100" s="152">
        <f t="shared" ca="1" si="1207"/>
        <v>167.40567266163274</v>
      </c>
      <c r="BX100" s="441"/>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188">
        <f t="shared" si="1133"/>
        <v>0.20000000000000018</v>
      </c>
      <c r="DE100" s="188">
        <f t="shared" si="1134"/>
        <v>-0.3</v>
      </c>
      <c r="DF100" s="188">
        <f t="shared" si="1135"/>
        <v>-0.3</v>
      </c>
      <c r="DG100" s="188">
        <f t="shared" si="1136"/>
        <v>-0.3</v>
      </c>
      <c r="DH100" s="188">
        <f t="shared" si="1137"/>
        <v>-0.3</v>
      </c>
      <c r="DI100" s="188">
        <f t="shared" si="1138"/>
        <v>-0.3</v>
      </c>
      <c r="DJ100" s="188">
        <f t="shared" si="1139"/>
        <v>-0.3</v>
      </c>
      <c r="DK100" s="188">
        <f t="shared" si="1140"/>
        <v>-0.3</v>
      </c>
      <c r="DL100" s="188">
        <f t="shared" si="1141"/>
        <v>-0.3</v>
      </c>
      <c r="DM100" s="188">
        <f t="shared" si="1142"/>
        <v>-0.3</v>
      </c>
      <c r="DN100" s="189">
        <f t="shared" si="1143"/>
        <v>0.89000000000000057</v>
      </c>
      <c r="DO100" s="189">
        <f t="shared" si="1144"/>
        <v>0</v>
      </c>
      <c r="DP100" s="189">
        <f t="shared" si="1145"/>
        <v>0</v>
      </c>
      <c r="DQ100" s="189">
        <f t="shared" si="1146"/>
        <v>0</v>
      </c>
      <c r="DR100" s="189">
        <f t="shared" si="1147"/>
        <v>0</v>
      </c>
      <c r="DS100" s="189">
        <f t="shared" si="1148"/>
        <v>0</v>
      </c>
      <c r="DT100" s="189">
        <f t="shared" si="1149"/>
        <v>0</v>
      </c>
      <c r="DU100" s="189">
        <f t="shared" si="1150"/>
        <v>0</v>
      </c>
      <c r="DV100" s="189">
        <f t="shared" si="1151"/>
        <v>0</v>
      </c>
      <c r="DW100" s="189">
        <f t="shared" si="1152"/>
        <v>0</v>
      </c>
      <c r="DX100" s="54"/>
      <c r="DY100" s="54"/>
      <c r="DZ100" s="199">
        <f t="shared" ca="1" si="1055"/>
        <v>104105.82006753498</v>
      </c>
      <c r="EA100" s="200">
        <f t="shared" si="1153"/>
        <v>1</v>
      </c>
      <c r="EB100" s="201">
        <f t="shared" ca="1" si="1056"/>
        <v>48659.900444123494</v>
      </c>
      <c r="EC100" s="200">
        <f t="shared" si="1154"/>
        <v>1</v>
      </c>
      <c r="ED100" s="201" cm="1">
        <f t="array" ref="ED100">IF(LEFT($AG100,3)="Res",IF(OR($DN100&gt;External_Threshold,$DD100&gt;0),1*Uplift*AWE*(External),0),0)</f>
        <v>15481.186685962373</v>
      </c>
      <c r="EE100" s="200">
        <f t="shared" si="1155"/>
        <v>1</v>
      </c>
      <c r="EF100" s="201">
        <f t="shared" si="1057"/>
        <v>0</v>
      </c>
      <c r="EG100" s="203">
        <f t="shared" si="1156"/>
        <v>0</v>
      </c>
      <c r="EH100" s="199">
        <f t="shared" ca="1" si="1058"/>
        <v>0</v>
      </c>
      <c r="EI100" s="200">
        <f t="shared" si="1059"/>
        <v>0</v>
      </c>
      <c r="EJ100" s="201">
        <f t="shared" ca="1" si="1060"/>
        <v>0</v>
      </c>
      <c r="EK100" s="200">
        <f t="shared" si="1061"/>
        <v>0</v>
      </c>
      <c r="EL100" s="201" cm="1">
        <f t="array" ref="EL100">IF(LEFT($AG100,3)="Res",IF(OR($DO100&gt;External_Threshold,$DE100&gt;0),1*Uplift*AWE*(External),0),0)</f>
        <v>0</v>
      </c>
      <c r="EM100" s="200">
        <f t="shared" si="1062"/>
        <v>0</v>
      </c>
      <c r="EN100" s="201">
        <f t="shared" si="1063"/>
        <v>0</v>
      </c>
      <c r="EO100" s="203">
        <f t="shared" si="1157"/>
        <v>0</v>
      </c>
      <c r="EP100" s="199">
        <f t="shared" ca="1" si="1064"/>
        <v>0</v>
      </c>
      <c r="EQ100" s="200">
        <f t="shared" si="1065"/>
        <v>0</v>
      </c>
      <c r="ER100" s="201">
        <f t="shared" ca="1" si="1066"/>
        <v>0</v>
      </c>
      <c r="ES100" s="200">
        <f t="shared" si="1067"/>
        <v>0</v>
      </c>
      <c r="ET100" s="201" cm="1">
        <f t="array" ref="ET100">IF(LEFT($AG100,3)="Res",IF(OR($DP100&gt;External_Threshold,$DF100&gt;0),1*Uplift*AWE*(External),0),0)</f>
        <v>0</v>
      </c>
      <c r="EU100" s="200">
        <f t="shared" si="1068"/>
        <v>0</v>
      </c>
      <c r="EV100" s="201">
        <f t="shared" si="1069"/>
        <v>0</v>
      </c>
      <c r="EW100" s="203">
        <f t="shared" si="1158"/>
        <v>0</v>
      </c>
      <c r="EX100" s="199">
        <f t="shared" ca="1" si="1070"/>
        <v>0</v>
      </c>
      <c r="EY100" s="200">
        <f t="shared" si="1071"/>
        <v>0</v>
      </c>
      <c r="EZ100" s="201">
        <f t="shared" ca="1" si="1072"/>
        <v>0</v>
      </c>
      <c r="FA100" s="200">
        <f t="shared" si="1073"/>
        <v>0</v>
      </c>
      <c r="FB100" s="201" cm="1">
        <f t="array" ref="FB100">IF(LEFT($AG100,3)="Res",IF(OR($DQ100&gt;External_Threshold,$DG100&gt;0),1*Uplift*AWE*(External),0),0)</f>
        <v>0</v>
      </c>
      <c r="FC100" s="200">
        <f t="shared" si="1074"/>
        <v>0</v>
      </c>
      <c r="FD100" s="201">
        <f t="shared" si="1075"/>
        <v>0</v>
      </c>
      <c r="FE100" s="203">
        <f t="shared" si="1159"/>
        <v>0</v>
      </c>
      <c r="FF100" s="199">
        <f t="shared" ca="1" si="1076"/>
        <v>0</v>
      </c>
      <c r="FG100" s="200">
        <f t="shared" si="1077"/>
        <v>0</v>
      </c>
      <c r="FH100" s="201">
        <f t="shared" ca="1" si="1078"/>
        <v>0</v>
      </c>
      <c r="FI100" s="200">
        <f t="shared" si="1079"/>
        <v>0</v>
      </c>
      <c r="FJ100" s="201" cm="1">
        <f t="array" ref="FJ100">IF(LEFT($AG100,3)="Res",IF(OR($DR100&gt;External_Threshold,$DH100&gt;0),1*Uplift*AWE*(External),0),0)</f>
        <v>0</v>
      </c>
      <c r="FK100" s="200">
        <f t="shared" si="1080"/>
        <v>0</v>
      </c>
      <c r="FL100" s="201">
        <f t="shared" si="1081"/>
        <v>0</v>
      </c>
      <c r="FM100" s="203">
        <f t="shared" si="1160"/>
        <v>0</v>
      </c>
      <c r="FN100" s="199">
        <f t="shared" ca="1" si="1082"/>
        <v>0</v>
      </c>
      <c r="FO100" s="200">
        <f t="shared" si="1083"/>
        <v>0</v>
      </c>
      <c r="FP100" s="201">
        <f t="shared" ca="1" si="1084"/>
        <v>0</v>
      </c>
      <c r="FQ100" s="200">
        <f t="shared" si="1085"/>
        <v>0</v>
      </c>
      <c r="FR100" s="201" cm="1">
        <f t="array" ref="FR100">IF(LEFT($AG100,3)="Res",IF(OR($DS100&gt;External_Threshold,$DI100&gt;0),1*Uplift*AWE*(External),0),0)</f>
        <v>0</v>
      </c>
      <c r="FS100" s="200">
        <f t="shared" si="1086"/>
        <v>0</v>
      </c>
      <c r="FT100" s="201">
        <f t="shared" si="1087"/>
        <v>0</v>
      </c>
      <c r="FU100" s="203">
        <f t="shared" si="1161"/>
        <v>0</v>
      </c>
      <c r="FV100" s="199">
        <f t="shared" ca="1" si="1088"/>
        <v>0</v>
      </c>
      <c r="FW100" s="200">
        <f t="shared" si="1089"/>
        <v>0</v>
      </c>
      <c r="FX100" s="201">
        <f t="shared" ca="1" si="1090"/>
        <v>0</v>
      </c>
      <c r="FY100" s="200">
        <f t="shared" si="1091"/>
        <v>0</v>
      </c>
      <c r="FZ100" s="201" cm="1">
        <f t="array" ref="FZ100">IF(LEFT($AG100,3)="Res",IF(OR($DT100&gt;External_Threshold,$DJ100&gt;0),1*Uplift*AWE*(External),0),0)</f>
        <v>0</v>
      </c>
      <c r="GA100" s="200">
        <f t="shared" si="1092"/>
        <v>0</v>
      </c>
      <c r="GB100" s="201">
        <f t="shared" si="1093"/>
        <v>0</v>
      </c>
      <c r="GC100" s="203">
        <f t="shared" si="1162"/>
        <v>0</v>
      </c>
      <c r="GD100" s="199">
        <f t="shared" ca="1" si="1094"/>
        <v>0</v>
      </c>
      <c r="GE100" s="200">
        <f t="shared" si="1095"/>
        <v>0</v>
      </c>
      <c r="GF100" s="201">
        <f t="shared" ca="1" si="1096"/>
        <v>0</v>
      </c>
      <c r="GG100" s="200">
        <f t="shared" si="1097"/>
        <v>0</v>
      </c>
      <c r="GH100" s="201" cm="1">
        <f t="array" ref="GH100">IF(LEFT($AG100,3)="Res",IF(OR($DU100&gt;External_Threshold,$DK100&gt;0),1*Uplift*AWE*(External),0),0)</f>
        <v>0</v>
      </c>
      <c r="GI100" s="200">
        <f t="shared" si="1098"/>
        <v>0</v>
      </c>
      <c r="GJ100" s="201">
        <f t="shared" si="1099"/>
        <v>0</v>
      </c>
      <c r="GK100" s="203">
        <f t="shared" si="1163"/>
        <v>0</v>
      </c>
      <c r="GL100" s="199">
        <f t="shared" ca="1" si="1100"/>
        <v>0</v>
      </c>
      <c r="GM100" s="200">
        <f t="shared" si="1101"/>
        <v>0</v>
      </c>
      <c r="GN100" s="201">
        <f t="shared" ca="1" si="1102"/>
        <v>0</v>
      </c>
      <c r="GO100" s="200">
        <f t="shared" si="1103"/>
        <v>0</v>
      </c>
      <c r="GP100" s="201" cm="1">
        <f t="array" ref="GP100">IF(LEFT($AG100,3)="Res",IF(OR($DV100&gt;External_Threshold,$DL100&gt;0),1*Uplift*AWE*(External),0),0)</f>
        <v>0</v>
      </c>
      <c r="GQ100" s="200">
        <f t="shared" si="1104"/>
        <v>0</v>
      </c>
      <c r="GR100" s="201">
        <f t="shared" si="1105"/>
        <v>0</v>
      </c>
      <c r="GS100" s="203">
        <f t="shared" si="1164"/>
        <v>0</v>
      </c>
      <c r="GT100" s="199">
        <f t="shared" ca="1" si="1106"/>
        <v>0</v>
      </c>
      <c r="GU100" s="200">
        <f t="shared" si="1107"/>
        <v>0</v>
      </c>
      <c r="GV100" s="201">
        <f t="shared" ca="1" si="1108"/>
        <v>0</v>
      </c>
      <c r="GW100" s="200">
        <f t="shared" si="1109"/>
        <v>0</v>
      </c>
      <c r="GX100" s="201" cm="1">
        <f t="array" ref="GX100">IF(LEFT($AG100,3)="Res",IF(OR($DW100&gt;External_Threshold,$DM100&gt;0),1*Uplift*AWE*(External),0),0)</f>
        <v>0</v>
      </c>
      <c r="GY100" s="200">
        <f t="shared" si="1110"/>
        <v>0</v>
      </c>
      <c r="GZ100" s="201">
        <f t="shared" si="1111"/>
        <v>0</v>
      </c>
      <c r="HA100" s="203">
        <f t="shared" si="1165"/>
        <v>0</v>
      </c>
      <c r="HB100" s="54"/>
      <c r="HC100" s="54"/>
      <c r="HD100" s="54"/>
      <c r="HE100" s="54"/>
      <c r="HF100" s="54"/>
      <c r="HG100" s="201">
        <f t="shared" ca="1" si="1166"/>
        <v>168246.90719762084</v>
      </c>
      <c r="HH100" s="201">
        <f t="shared" ca="1" si="1167"/>
        <v>0</v>
      </c>
      <c r="HI100" s="201">
        <f t="shared" ca="1" si="1168"/>
        <v>0</v>
      </c>
      <c r="HJ100" s="201">
        <f t="shared" ca="1" si="1169"/>
        <v>0</v>
      </c>
      <c r="HK100" s="201">
        <f t="shared" ca="1" si="1170"/>
        <v>0</v>
      </c>
      <c r="HL100" s="201">
        <f t="shared" ca="1" si="1171"/>
        <v>0</v>
      </c>
      <c r="HM100" s="201">
        <f t="shared" ca="1" si="1172"/>
        <v>0</v>
      </c>
      <c r="HN100" s="201">
        <f t="shared" ca="1" si="1173"/>
        <v>0</v>
      </c>
      <c r="HO100" s="201">
        <f t="shared" ca="1" si="1174"/>
        <v>0</v>
      </c>
      <c r="HP100" s="201">
        <f t="shared" ca="1" si="1175"/>
        <v>0</v>
      </c>
      <c r="HQ100" s="54"/>
    </row>
    <row r="101" spans="1:225" x14ac:dyDescent="0.3">
      <c r="A101" s="513">
        <v>83</v>
      </c>
      <c r="B101" s="514" t="s">
        <v>506</v>
      </c>
      <c r="C101" s="514" t="s">
        <v>390</v>
      </c>
      <c r="D101" s="514" t="s">
        <v>390</v>
      </c>
      <c r="E101" s="513">
        <v>1</v>
      </c>
      <c r="F101" s="515">
        <v>5.75</v>
      </c>
      <c r="G101" s="515">
        <v>4.95</v>
      </c>
      <c r="H101" s="513">
        <v>1</v>
      </c>
      <c r="I101" s="517">
        <v>1</v>
      </c>
      <c r="J101" s="518" t="s">
        <v>42</v>
      </c>
      <c r="K101" s="513">
        <f t="shared" si="1044"/>
        <v>90</v>
      </c>
      <c r="L101" s="519">
        <v>9.4545454545454533</v>
      </c>
      <c r="M101" s="519">
        <v>6.6499999999999995</v>
      </c>
      <c r="N101" s="519">
        <v>6.35</v>
      </c>
      <c r="O101" s="519">
        <v>6.05</v>
      </c>
      <c r="P101" s="519">
        <v>5.55</v>
      </c>
      <c r="Q101" s="519">
        <v>5.03</v>
      </c>
      <c r="R101" s="519">
        <v>4.2300000000000004</v>
      </c>
      <c r="S101" s="519">
        <v>0</v>
      </c>
      <c r="T101" s="519">
        <v>0</v>
      </c>
      <c r="U101" s="519">
        <v>0</v>
      </c>
      <c r="V101" s="536"/>
      <c r="W101" s="536"/>
      <c r="X101" s="536"/>
      <c r="Y101" s="536"/>
      <c r="Z101" s="536"/>
      <c r="AA101" s="536"/>
      <c r="AB101" s="536"/>
      <c r="AC101" s="536"/>
      <c r="AD101" s="536"/>
      <c r="AE101" s="536"/>
      <c r="AF101" s="54"/>
      <c r="AG101" s="204" t="str">
        <f t="shared" si="1253"/>
        <v>Res1</v>
      </c>
      <c r="AH101" s="204">
        <f t="shared" si="1112"/>
        <v>4</v>
      </c>
      <c r="AI101" s="204">
        <f t="shared" si="1045"/>
        <v>1</v>
      </c>
      <c r="AJ101" s="54"/>
      <c r="AK101" s="74">
        <f>IFERROR(IF(H101&gt;4,0,AI101*Inputs!$C$55),0)</f>
        <v>2.6</v>
      </c>
      <c r="AL101" s="81">
        <f>IFERROR(Inputs!$C$73,0)</f>
        <v>5</v>
      </c>
      <c r="AM101" s="211">
        <f>IFERROR(Inputs!$C$74,0)</f>
        <v>0.24299999999999999</v>
      </c>
      <c r="AN101" s="446">
        <f>IFERROR(HLOOKUP(HLOOKUP(AN$17,$V$18:$AE101,COUNTA($AK$18:$AK101),FALSE),Inputs!$B$58:$H$59,2,FALSE),0)</f>
        <v>0</v>
      </c>
      <c r="AO101" s="447">
        <f t="shared" si="1113"/>
        <v>0</v>
      </c>
      <c r="AP101" s="447">
        <f t="shared" si="1114"/>
        <v>0</v>
      </c>
      <c r="AQ101" s="446">
        <f>IFERROR(HLOOKUP(HLOOKUP(AQ$17,$V$18:$AE101,COUNTA($AK$18:$AK101),FALSE),Inputs!$B$58:$H$59,2,FALSE),0)</f>
        <v>0</v>
      </c>
      <c r="AR101" s="447">
        <f t="shared" ref="AR101" si="1326">2*$AK101*AQ101*$AL101/100*$AM101</f>
        <v>0</v>
      </c>
      <c r="AS101" s="447">
        <f t="shared" si="1116"/>
        <v>0</v>
      </c>
      <c r="AT101" s="446">
        <f>IFERROR(HLOOKUP(HLOOKUP(AT$17,$V$18:$AE101,COUNTA($AK$18:$AK101),FALSE),Inputs!$B$58:$H$59,2,FALSE),0)</f>
        <v>0</v>
      </c>
      <c r="AU101" s="447">
        <f t="shared" ref="AU101" si="1327">2*$AK101*AT101*$AL101/100*$AM101</f>
        <v>0</v>
      </c>
      <c r="AV101" s="447">
        <f t="shared" si="1118"/>
        <v>0</v>
      </c>
      <c r="AW101" s="446">
        <f>IFERROR(HLOOKUP(HLOOKUP(AW$17,$V$18:$AE101,COUNTA($AK$18:$AK101),FALSE),Inputs!$B$58:$H$59,2,FALSE),0)</f>
        <v>0</v>
      </c>
      <c r="AX101" s="447">
        <f t="shared" ref="AX101" si="1328">2*$AK101*AW101*$AL101/100*$AM101</f>
        <v>0</v>
      </c>
      <c r="AY101" s="447">
        <f t="shared" si="1120"/>
        <v>0</v>
      </c>
      <c r="AZ101" s="446">
        <f>IFERROR(HLOOKUP(HLOOKUP(AZ$17,$V$18:$AE101,COUNTA($AK$18:$AK101),FALSE),Inputs!$B$58:$H$59,2,FALSE),0)</f>
        <v>0</v>
      </c>
      <c r="BA101" s="447">
        <f t="shared" ref="BA101" si="1329">2*$AK101*AZ101*$AL101/100*$AM101</f>
        <v>0</v>
      </c>
      <c r="BB101" s="447">
        <f t="shared" si="1122"/>
        <v>0</v>
      </c>
      <c r="BC101" s="446">
        <f>IFERROR(HLOOKUP(HLOOKUP(BC$17,$V$18:$AE101,COUNTA($AK$18:$AK101),FALSE),Inputs!$B$58:$H$59,2,FALSE),0)</f>
        <v>0</v>
      </c>
      <c r="BD101" s="447">
        <f t="shared" ref="BD101" si="1330">2*$AK101*BC101*$AL101/100*$AM101</f>
        <v>0</v>
      </c>
      <c r="BE101" s="447">
        <f t="shared" si="1124"/>
        <v>0</v>
      </c>
      <c r="BF101" s="446">
        <f>IFERROR(HLOOKUP(HLOOKUP(BF$17,$V$18:$AE101,COUNTA($AK$18:$AK101),FALSE),Inputs!$B$58:$H$59,2,FALSE),0)</f>
        <v>0</v>
      </c>
      <c r="BG101" s="447">
        <f t="shared" ref="BG101" si="1331">2*$AK101*BF101*$AL101/100*$AM101</f>
        <v>0</v>
      </c>
      <c r="BH101" s="447">
        <f t="shared" si="1126"/>
        <v>0</v>
      </c>
      <c r="BI101" s="446">
        <f>IFERROR(HLOOKUP(HLOOKUP(BI$17,$V$18:$AE101,COUNTA($AK$18:$AK101),FALSE),Inputs!$B$58:$H$59,2,FALSE),0)</f>
        <v>0</v>
      </c>
      <c r="BJ101" s="447">
        <f t="shared" ref="BJ101" si="1332">2*$AK101*BI101*$AL101/100*$AM101</f>
        <v>0</v>
      </c>
      <c r="BK101" s="447">
        <f t="shared" si="1128"/>
        <v>0</v>
      </c>
      <c r="BL101" s="446">
        <f>IFERROR(HLOOKUP(HLOOKUP(BL$17,$V$18:$AE101,COUNTA($AK$18:$AK101),FALSE),Inputs!$B$58:$H$59,2,FALSE),0)</f>
        <v>0</v>
      </c>
      <c r="BM101" s="447">
        <f t="shared" ref="BM101" si="1333">2*$AK101*BL101*$AL101/100*$AM101</f>
        <v>0</v>
      </c>
      <c r="BN101" s="447">
        <f t="shared" si="1130"/>
        <v>0</v>
      </c>
      <c r="BO101" s="446">
        <f>IFERROR(HLOOKUP(HLOOKUP(BO$17,$V$18:$AE101,COUNTA($AK$18:$AK101),FALSE),Inputs!$B$58:$H$59,2,FALSE),0)</f>
        <v>0</v>
      </c>
      <c r="BP101" s="447">
        <f t="shared" ref="BP101" si="1334">2*$AK101*BO101*$AL101/100*$AM101</f>
        <v>0</v>
      </c>
      <c r="BQ101" s="447">
        <f t="shared" si="1132"/>
        <v>0</v>
      </c>
      <c r="BR101" s="54"/>
      <c r="BS101" s="103">
        <f t="shared" ca="1" si="1203"/>
        <v>679.53825233357452</v>
      </c>
      <c r="BT101" s="103">
        <f t="shared" ca="1" si="1204"/>
        <v>547.64237075378151</v>
      </c>
      <c r="BU101" s="103">
        <f t="shared" si="1205"/>
        <v>541.68672214182345</v>
      </c>
      <c r="BV101" s="103">
        <f t="shared" si="1206"/>
        <v>0</v>
      </c>
      <c r="BW101" s="152">
        <f t="shared" ca="1" si="1207"/>
        <v>1768.8673452291796</v>
      </c>
      <c r="BX101" s="441"/>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188">
        <f t="shared" si="1133"/>
        <v>3.7045454545454533</v>
      </c>
      <c r="DE101" s="188">
        <f t="shared" si="1134"/>
        <v>0.89999999999999947</v>
      </c>
      <c r="DF101" s="188">
        <f t="shared" si="1135"/>
        <v>0.59999999999999964</v>
      </c>
      <c r="DG101" s="188">
        <f t="shared" si="1136"/>
        <v>0.29999999999999982</v>
      </c>
      <c r="DH101" s="188">
        <f t="shared" si="1137"/>
        <v>-0.20000000000000018</v>
      </c>
      <c r="DI101" s="188">
        <f t="shared" si="1138"/>
        <v>-0.3</v>
      </c>
      <c r="DJ101" s="188">
        <f t="shared" si="1139"/>
        <v>-0.3</v>
      </c>
      <c r="DK101" s="188">
        <f t="shared" si="1140"/>
        <v>-0.3</v>
      </c>
      <c r="DL101" s="188">
        <f t="shared" si="1141"/>
        <v>-0.3</v>
      </c>
      <c r="DM101" s="188">
        <f t="shared" si="1142"/>
        <v>-0.3</v>
      </c>
      <c r="DN101" s="189">
        <f t="shared" si="1143"/>
        <v>4.5045454545454531</v>
      </c>
      <c r="DO101" s="189">
        <f t="shared" si="1144"/>
        <v>1.6999999999999993</v>
      </c>
      <c r="DP101" s="189">
        <f t="shared" si="1145"/>
        <v>1.3999999999999995</v>
      </c>
      <c r="DQ101" s="189">
        <f t="shared" si="1146"/>
        <v>1.0999999999999996</v>
      </c>
      <c r="DR101" s="189">
        <f t="shared" si="1147"/>
        <v>0.59999999999999964</v>
      </c>
      <c r="DS101" s="189">
        <f t="shared" si="1148"/>
        <v>8.0000000000000071E-2</v>
      </c>
      <c r="DT101" s="189">
        <f t="shared" si="1149"/>
        <v>0</v>
      </c>
      <c r="DU101" s="189">
        <f t="shared" si="1150"/>
        <v>0</v>
      </c>
      <c r="DV101" s="189">
        <f t="shared" si="1151"/>
        <v>0</v>
      </c>
      <c r="DW101" s="189">
        <f t="shared" si="1152"/>
        <v>0</v>
      </c>
      <c r="DX101" s="54"/>
      <c r="DY101" s="54"/>
      <c r="DZ101" s="199">
        <f t="shared" ca="1" si="1055"/>
        <v>78505.097684515204</v>
      </c>
      <c r="EA101" s="200">
        <f t="shared" si="1153"/>
        <v>1</v>
      </c>
      <c r="EB101" s="201">
        <f t="shared" ca="1" si="1056"/>
        <v>58677.283708671122</v>
      </c>
      <c r="EC101" s="200">
        <f t="shared" si="1154"/>
        <v>1</v>
      </c>
      <c r="ED101" s="201" cm="1">
        <f t="array" ref="ED101">IF(LEFT($AG101,3)="Res",IF(OR($DN101&gt;External_Threshold,$DD101&gt;0),1*Uplift*AWE*(External),0),0)</f>
        <v>15481.186685962373</v>
      </c>
      <c r="EE101" s="200">
        <f t="shared" si="1155"/>
        <v>1</v>
      </c>
      <c r="EF101" s="201">
        <f t="shared" si="1057"/>
        <v>0</v>
      </c>
      <c r="EG101" s="203">
        <f t="shared" si="1156"/>
        <v>0</v>
      </c>
      <c r="EH101" s="199">
        <f t="shared" ca="1" si="1058"/>
        <v>43935.607814761221</v>
      </c>
      <c r="EI101" s="200">
        <f t="shared" si="1059"/>
        <v>1</v>
      </c>
      <c r="EJ101" s="201">
        <f t="shared" ca="1" si="1060"/>
        <v>47429.646486218116</v>
      </c>
      <c r="EK101" s="200">
        <f t="shared" si="1061"/>
        <v>1</v>
      </c>
      <c r="EL101" s="201" cm="1">
        <f t="array" ref="EL101">IF(LEFT($AG101,3)="Res",IF(OR($DO101&gt;External_Threshold,$DE101&gt;0),1*Uplift*AWE*(External),0),0)</f>
        <v>15481.186685962373</v>
      </c>
      <c r="EM101" s="200">
        <f t="shared" si="1062"/>
        <v>1</v>
      </c>
      <c r="EN101" s="201">
        <f t="shared" si="1063"/>
        <v>0</v>
      </c>
      <c r="EO101" s="203">
        <f t="shared" si="1157"/>
        <v>0</v>
      </c>
      <c r="EP101" s="199">
        <f t="shared" ca="1" si="1064"/>
        <v>41636.651591895803</v>
      </c>
      <c r="EQ101" s="200">
        <f t="shared" si="1065"/>
        <v>1</v>
      </c>
      <c r="ER101" s="201">
        <f t="shared" ca="1" si="1066"/>
        <v>38031.399073139495</v>
      </c>
      <c r="ES101" s="200">
        <f t="shared" si="1067"/>
        <v>1</v>
      </c>
      <c r="ET101" s="201" cm="1">
        <f t="array" ref="ET101">IF(LEFT($AG101,3)="Res",IF(OR($DP101&gt;External_Threshold,$DF101&gt;0),1*Uplift*AWE*(External),0),0)</f>
        <v>15481.186685962373</v>
      </c>
      <c r="EU101" s="200">
        <f t="shared" si="1068"/>
        <v>1</v>
      </c>
      <c r="EV101" s="201">
        <f t="shared" si="1069"/>
        <v>0</v>
      </c>
      <c r="EW101" s="203">
        <f t="shared" si="1158"/>
        <v>0</v>
      </c>
      <c r="EX101" s="199">
        <f t="shared" ca="1" si="1070"/>
        <v>40870.332850940664</v>
      </c>
      <c r="EY101" s="200">
        <f t="shared" si="1071"/>
        <v>1</v>
      </c>
      <c r="EZ101" s="201">
        <f t="shared" ca="1" si="1072"/>
        <v>29172.78789173087</v>
      </c>
      <c r="FA101" s="200">
        <f t="shared" si="1073"/>
        <v>1</v>
      </c>
      <c r="FB101" s="201" cm="1">
        <f t="array" ref="FB101">IF(LEFT($AG101,3)="Res",IF(OR($DQ101&gt;External_Threshold,$DG101&gt;0),1*Uplift*AWE*(External),0),0)</f>
        <v>15481.186685962373</v>
      </c>
      <c r="FC101" s="200">
        <f t="shared" si="1074"/>
        <v>1</v>
      </c>
      <c r="FD101" s="201">
        <f t="shared" si="1075"/>
        <v>0</v>
      </c>
      <c r="FE101" s="203">
        <f t="shared" si="1159"/>
        <v>0</v>
      </c>
      <c r="FF101" s="199">
        <f t="shared" ca="1" si="1076"/>
        <v>936.61179450072336</v>
      </c>
      <c r="FG101" s="200">
        <f t="shared" si="1077"/>
        <v>0</v>
      </c>
      <c r="FH101" s="201">
        <f t="shared" ca="1" si="1078"/>
        <v>0</v>
      </c>
      <c r="FI101" s="200">
        <f t="shared" si="1079"/>
        <v>0</v>
      </c>
      <c r="FJ101" s="201" cm="1">
        <f t="array" ref="FJ101">IF(LEFT($AG101,3)="Res",IF(OR($DR101&gt;External_Threshold,$DH101&gt;0),1*Uplift*AWE*(External),0),0)</f>
        <v>15481.186685962373</v>
      </c>
      <c r="FK101" s="200">
        <f t="shared" si="1080"/>
        <v>1</v>
      </c>
      <c r="FL101" s="201">
        <f t="shared" si="1081"/>
        <v>0</v>
      </c>
      <c r="FM101" s="203">
        <f t="shared" si="1160"/>
        <v>0</v>
      </c>
      <c r="FN101" s="199">
        <f t="shared" ca="1" si="1082"/>
        <v>0</v>
      </c>
      <c r="FO101" s="200">
        <f t="shared" si="1083"/>
        <v>0</v>
      </c>
      <c r="FP101" s="201">
        <f t="shared" ca="1" si="1084"/>
        <v>0</v>
      </c>
      <c r="FQ101" s="200">
        <f t="shared" si="1085"/>
        <v>0</v>
      </c>
      <c r="FR101" s="201" cm="1">
        <f t="array" ref="FR101">IF(LEFT($AG101,3)="Res",IF(OR($DS101&gt;External_Threshold,$DI101&gt;0),1*Uplift*AWE*(External),0),0)</f>
        <v>0</v>
      </c>
      <c r="FS101" s="200">
        <f t="shared" si="1086"/>
        <v>1</v>
      </c>
      <c r="FT101" s="201">
        <f t="shared" si="1087"/>
        <v>0</v>
      </c>
      <c r="FU101" s="203">
        <f t="shared" si="1161"/>
        <v>0</v>
      </c>
      <c r="FV101" s="199">
        <f t="shared" ca="1" si="1088"/>
        <v>0</v>
      </c>
      <c r="FW101" s="200">
        <f t="shared" si="1089"/>
        <v>0</v>
      </c>
      <c r="FX101" s="201">
        <f t="shared" ca="1" si="1090"/>
        <v>0</v>
      </c>
      <c r="FY101" s="200">
        <f t="shared" si="1091"/>
        <v>0</v>
      </c>
      <c r="FZ101" s="201" cm="1">
        <f t="array" ref="FZ101">IF(LEFT($AG101,3)="Res",IF(OR($DT101&gt;External_Threshold,$DJ101&gt;0),1*Uplift*AWE*(External),0),0)</f>
        <v>0</v>
      </c>
      <c r="GA101" s="200">
        <f t="shared" si="1092"/>
        <v>0</v>
      </c>
      <c r="GB101" s="201">
        <f t="shared" si="1093"/>
        <v>0</v>
      </c>
      <c r="GC101" s="203">
        <f t="shared" si="1162"/>
        <v>0</v>
      </c>
      <c r="GD101" s="199">
        <f t="shared" ca="1" si="1094"/>
        <v>0</v>
      </c>
      <c r="GE101" s="200">
        <f t="shared" si="1095"/>
        <v>0</v>
      </c>
      <c r="GF101" s="201">
        <f t="shared" ca="1" si="1096"/>
        <v>0</v>
      </c>
      <c r="GG101" s="200">
        <f t="shared" si="1097"/>
        <v>0</v>
      </c>
      <c r="GH101" s="201" cm="1">
        <f t="array" ref="GH101">IF(LEFT($AG101,3)="Res",IF(OR($DU101&gt;External_Threshold,$DK101&gt;0),1*Uplift*AWE*(External),0),0)</f>
        <v>0</v>
      </c>
      <c r="GI101" s="200">
        <f t="shared" si="1098"/>
        <v>0</v>
      </c>
      <c r="GJ101" s="201">
        <f t="shared" si="1099"/>
        <v>0</v>
      </c>
      <c r="GK101" s="203">
        <f t="shared" si="1163"/>
        <v>0</v>
      </c>
      <c r="GL101" s="199">
        <f t="shared" ca="1" si="1100"/>
        <v>0</v>
      </c>
      <c r="GM101" s="200">
        <f t="shared" si="1101"/>
        <v>0</v>
      </c>
      <c r="GN101" s="201">
        <f t="shared" ca="1" si="1102"/>
        <v>0</v>
      </c>
      <c r="GO101" s="200">
        <f t="shared" si="1103"/>
        <v>0</v>
      </c>
      <c r="GP101" s="201" cm="1">
        <f t="array" ref="GP101">IF(LEFT($AG101,3)="Res",IF(OR($DV101&gt;External_Threshold,$DL101&gt;0),1*Uplift*AWE*(External),0),0)</f>
        <v>0</v>
      </c>
      <c r="GQ101" s="200">
        <f t="shared" si="1104"/>
        <v>0</v>
      </c>
      <c r="GR101" s="201">
        <f t="shared" si="1105"/>
        <v>0</v>
      </c>
      <c r="GS101" s="203">
        <f t="shared" si="1164"/>
        <v>0</v>
      </c>
      <c r="GT101" s="199">
        <f t="shared" ca="1" si="1106"/>
        <v>0</v>
      </c>
      <c r="GU101" s="200">
        <f t="shared" si="1107"/>
        <v>0</v>
      </c>
      <c r="GV101" s="201">
        <f t="shared" ca="1" si="1108"/>
        <v>0</v>
      </c>
      <c r="GW101" s="200">
        <f t="shared" si="1109"/>
        <v>0</v>
      </c>
      <c r="GX101" s="201" cm="1">
        <f t="array" ref="GX101">IF(LEFT($AG101,3)="Res",IF(OR($DW101&gt;External_Threshold,$DM101&gt;0),1*Uplift*AWE*(External),0),0)</f>
        <v>0</v>
      </c>
      <c r="GY101" s="200">
        <f t="shared" si="1110"/>
        <v>0</v>
      </c>
      <c r="GZ101" s="201">
        <f t="shared" si="1111"/>
        <v>0</v>
      </c>
      <c r="HA101" s="203">
        <f t="shared" si="1165"/>
        <v>0</v>
      </c>
      <c r="HB101" s="54"/>
      <c r="HC101" s="54"/>
      <c r="HD101" s="54"/>
      <c r="HE101" s="54"/>
      <c r="HF101" s="54"/>
      <c r="HG101" s="201">
        <f t="shared" ca="1" si="1166"/>
        <v>152663.56807914871</v>
      </c>
      <c r="HH101" s="201">
        <f t="shared" ca="1" si="1167"/>
        <v>106846.44098694171</v>
      </c>
      <c r="HI101" s="201">
        <f t="shared" ca="1" si="1168"/>
        <v>95149.237350997661</v>
      </c>
      <c r="HJ101" s="201">
        <f t="shared" ca="1" si="1169"/>
        <v>85524.307428633911</v>
      </c>
      <c r="HK101" s="201">
        <f t="shared" ca="1" si="1170"/>
        <v>16417.798480463098</v>
      </c>
      <c r="HL101" s="201">
        <f t="shared" ca="1" si="1171"/>
        <v>0</v>
      </c>
      <c r="HM101" s="201">
        <f t="shared" ca="1" si="1172"/>
        <v>0</v>
      </c>
      <c r="HN101" s="201">
        <f t="shared" ca="1" si="1173"/>
        <v>0</v>
      </c>
      <c r="HO101" s="201">
        <f t="shared" ca="1" si="1174"/>
        <v>0</v>
      </c>
      <c r="HP101" s="201">
        <f t="shared" ca="1" si="1175"/>
        <v>0</v>
      </c>
      <c r="HQ101" s="54"/>
    </row>
    <row r="102" spans="1:225" x14ac:dyDescent="0.3">
      <c r="A102" s="513">
        <v>84</v>
      </c>
      <c r="B102" s="514" t="s">
        <v>507</v>
      </c>
      <c r="C102" s="514" t="s">
        <v>390</v>
      </c>
      <c r="D102" s="514" t="s">
        <v>390</v>
      </c>
      <c r="E102" s="513">
        <v>1</v>
      </c>
      <c r="F102" s="515">
        <v>7.52</v>
      </c>
      <c r="G102" s="515">
        <v>6.18</v>
      </c>
      <c r="H102" s="513">
        <v>1</v>
      </c>
      <c r="I102" s="517">
        <v>1</v>
      </c>
      <c r="J102" s="518" t="s">
        <v>43</v>
      </c>
      <c r="K102" s="513">
        <f t="shared" si="1044"/>
        <v>180</v>
      </c>
      <c r="L102" s="519">
        <v>9.4545454545454533</v>
      </c>
      <c r="M102" s="519">
        <v>6.6499999999999995</v>
      </c>
      <c r="N102" s="519">
        <v>6.35</v>
      </c>
      <c r="O102" s="519">
        <v>6.05</v>
      </c>
      <c r="P102" s="519">
        <v>5.55</v>
      </c>
      <c r="Q102" s="519">
        <v>5.03</v>
      </c>
      <c r="R102" s="519">
        <v>4.2300000000000004</v>
      </c>
      <c r="S102" s="519">
        <v>0</v>
      </c>
      <c r="T102" s="519">
        <v>0</v>
      </c>
      <c r="U102" s="519">
        <v>0</v>
      </c>
      <c r="V102" s="536"/>
      <c r="W102" s="536"/>
      <c r="X102" s="536"/>
      <c r="Y102" s="536"/>
      <c r="Z102" s="536"/>
      <c r="AA102" s="536"/>
      <c r="AB102" s="536"/>
      <c r="AC102" s="536"/>
      <c r="AD102" s="536"/>
      <c r="AE102" s="536"/>
      <c r="AF102" s="54"/>
      <c r="AG102" s="204" t="str">
        <f t="shared" si="1253"/>
        <v>Res1</v>
      </c>
      <c r="AH102" s="204">
        <f t="shared" si="1112"/>
        <v>5</v>
      </c>
      <c r="AI102" s="204">
        <f t="shared" si="1045"/>
        <v>1</v>
      </c>
      <c r="AJ102" s="54"/>
      <c r="AK102" s="74">
        <f>IFERROR(IF(H102&gt;4,0,AI102*Inputs!$C$55),0)</f>
        <v>2.6</v>
      </c>
      <c r="AL102" s="81">
        <f>IFERROR(Inputs!$C$73,0)</f>
        <v>5</v>
      </c>
      <c r="AM102" s="211">
        <f>IFERROR(Inputs!$C$74,0)</f>
        <v>0.24299999999999999</v>
      </c>
      <c r="AN102" s="446">
        <f>IFERROR(HLOOKUP(HLOOKUP(AN$17,$V$18:$AE102,COUNTA($AK$18:$AK102),FALSE),Inputs!$B$58:$H$59,2,FALSE),0)</f>
        <v>0</v>
      </c>
      <c r="AO102" s="447">
        <f t="shared" si="1113"/>
        <v>0</v>
      </c>
      <c r="AP102" s="447">
        <f t="shared" si="1114"/>
        <v>0</v>
      </c>
      <c r="AQ102" s="446">
        <f>IFERROR(HLOOKUP(HLOOKUP(AQ$17,$V$18:$AE102,COUNTA($AK$18:$AK102),FALSE),Inputs!$B$58:$H$59,2,FALSE),0)</f>
        <v>0</v>
      </c>
      <c r="AR102" s="447">
        <f t="shared" ref="AR102" si="1335">2*$AK102*AQ102*$AL102/100*$AM102</f>
        <v>0</v>
      </c>
      <c r="AS102" s="447">
        <f t="shared" si="1116"/>
        <v>0</v>
      </c>
      <c r="AT102" s="446">
        <f>IFERROR(HLOOKUP(HLOOKUP(AT$17,$V$18:$AE102,COUNTA($AK$18:$AK102),FALSE),Inputs!$B$58:$H$59,2,FALSE),0)</f>
        <v>0</v>
      </c>
      <c r="AU102" s="447">
        <f t="shared" ref="AU102" si="1336">2*$AK102*AT102*$AL102/100*$AM102</f>
        <v>0</v>
      </c>
      <c r="AV102" s="447">
        <f t="shared" si="1118"/>
        <v>0</v>
      </c>
      <c r="AW102" s="446">
        <f>IFERROR(HLOOKUP(HLOOKUP(AW$17,$V$18:$AE102,COUNTA($AK$18:$AK102),FALSE),Inputs!$B$58:$H$59,2,FALSE),0)</f>
        <v>0</v>
      </c>
      <c r="AX102" s="447">
        <f t="shared" ref="AX102" si="1337">2*$AK102*AW102*$AL102/100*$AM102</f>
        <v>0</v>
      </c>
      <c r="AY102" s="447">
        <f t="shared" si="1120"/>
        <v>0</v>
      </c>
      <c r="AZ102" s="446">
        <f>IFERROR(HLOOKUP(HLOOKUP(AZ$17,$V$18:$AE102,COUNTA($AK$18:$AK102),FALSE),Inputs!$B$58:$H$59,2,FALSE),0)</f>
        <v>0</v>
      </c>
      <c r="BA102" s="447">
        <f t="shared" ref="BA102" si="1338">2*$AK102*AZ102*$AL102/100*$AM102</f>
        <v>0</v>
      </c>
      <c r="BB102" s="447">
        <f t="shared" si="1122"/>
        <v>0</v>
      </c>
      <c r="BC102" s="446">
        <f>IFERROR(HLOOKUP(HLOOKUP(BC$17,$V$18:$AE102,COUNTA($AK$18:$AK102),FALSE),Inputs!$B$58:$H$59,2,FALSE),0)</f>
        <v>0</v>
      </c>
      <c r="BD102" s="447">
        <f t="shared" ref="BD102" si="1339">2*$AK102*BC102*$AL102/100*$AM102</f>
        <v>0</v>
      </c>
      <c r="BE102" s="447">
        <f t="shared" si="1124"/>
        <v>0</v>
      </c>
      <c r="BF102" s="446">
        <f>IFERROR(HLOOKUP(HLOOKUP(BF$17,$V$18:$AE102,COUNTA($AK$18:$AK102),FALSE),Inputs!$B$58:$H$59,2,FALSE),0)</f>
        <v>0</v>
      </c>
      <c r="BG102" s="447">
        <f t="shared" ref="BG102" si="1340">2*$AK102*BF102*$AL102/100*$AM102</f>
        <v>0</v>
      </c>
      <c r="BH102" s="447">
        <f t="shared" si="1126"/>
        <v>0</v>
      </c>
      <c r="BI102" s="446">
        <f>IFERROR(HLOOKUP(HLOOKUP(BI$17,$V$18:$AE102,COUNTA($AK$18:$AK102),FALSE),Inputs!$B$58:$H$59,2,FALSE),0)</f>
        <v>0</v>
      </c>
      <c r="BJ102" s="447">
        <f t="shared" ref="BJ102" si="1341">2*$AK102*BI102*$AL102/100*$AM102</f>
        <v>0</v>
      </c>
      <c r="BK102" s="447">
        <f t="shared" si="1128"/>
        <v>0</v>
      </c>
      <c r="BL102" s="446">
        <f>IFERROR(HLOOKUP(HLOOKUP(BL$17,$V$18:$AE102,COUNTA($AK$18:$AK102),FALSE),Inputs!$B$58:$H$59,2,FALSE),0)</f>
        <v>0</v>
      </c>
      <c r="BM102" s="447">
        <f t="shared" ref="BM102" si="1342">2*$AK102*BL102*$AL102/100*$AM102</f>
        <v>0</v>
      </c>
      <c r="BN102" s="447">
        <f t="shared" si="1130"/>
        <v>0</v>
      </c>
      <c r="BO102" s="446">
        <f>IFERROR(HLOOKUP(HLOOKUP(BO$17,$V$18:$AE102,COUNTA($AK$18:$AK102),FALSE),Inputs!$B$58:$H$59,2,FALSE),0)</f>
        <v>0</v>
      </c>
      <c r="BP102" s="447">
        <f t="shared" ref="BP102" si="1343">2*$AK102*BO102*$AL102/100*$AM102</f>
        <v>0</v>
      </c>
      <c r="BQ102" s="447">
        <f t="shared" si="1132"/>
        <v>0</v>
      </c>
      <c r="BR102" s="54"/>
      <c r="BS102" s="103">
        <f t="shared" ca="1" si="1203"/>
        <v>114.57640199348769</v>
      </c>
      <c r="BT102" s="103">
        <f t="shared" ca="1" si="1204"/>
        <v>98.151808783689518</v>
      </c>
      <c r="BU102" s="103">
        <f t="shared" si="1205"/>
        <v>54.02934153400868</v>
      </c>
      <c r="BV102" s="103">
        <f t="shared" si="1206"/>
        <v>0</v>
      </c>
      <c r="BW102" s="152">
        <f t="shared" ca="1" si="1207"/>
        <v>266.75755231118586</v>
      </c>
      <c r="BX102" s="441"/>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188">
        <f t="shared" si="1133"/>
        <v>1.9345454545454537</v>
      </c>
      <c r="DE102" s="188">
        <f t="shared" si="1134"/>
        <v>-0.3</v>
      </c>
      <c r="DF102" s="188">
        <f t="shared" si="1135"/>
        <v>-0.3</v>
      </c>
      <c r="DG102" s="188">
        <f t="shared" si="1136"/>
        <v>-0.3</v>
      </c>
      <c r="DH102" s="188">
        <f t="shared" si="1137"/>
        <v>-0.3</v>
      </c>
      <c r="DI102" s="188">
        <f t="shared" si="1138"/>
        <v>-0.3</v>
      </c>
      <c r="DJ102" s="188">
        <f t="shared" si="1139"/>
        <v>-0.3</v>
      </c>
      <c r="DK102" s="188">
        <f t="shared" si="1140"/>
        <v>-0.3</v>
      </c>
      <c r="DL102" s="188">
        <f t="shared" si="1141"/>
        <v>-0.3</v>
      </c>
      <c r="DM102" s="188">
        <f t="shared" si="1142"/>
        <v>-0.3</v>
      </c>
      <c r="DN102" s="189">
        <f t="shared" si="1143"/>
        <v>3.2745454545454535</v>
      </c>
      <c r="DO102" s="189">
        <f t="shared" si="1144"/>
        <v>0.46999999999999975</v>
      </c>
      <c r="DP102" s="189">
        <f t="shared" si="1145"/>
        <v>0.16999999999999993</v>
      </c>
      <c r="DQ102" s="189">
        <f t="shared" si="1146"/>
        <v>0</v>
      </c>
      <c r="DR102" s="189">
        <f t="shared" si="1147"/>
        <v>0</v>
      </c>
      <c r="DS102" s="189">
        <f t="shared" si="1148"/>
        <v>0</v>
      </c>
      <c r="DT102" s="189">
        <f t="shared" si="1149"/>
        <v>0</v>
      </c>
      <c r="DU102" s="189">
        <f t="shared" si="1150"/>
        <v>0</v>
      </c>
      <c r="DV102" s="189">
        <f t="shared" si="1151"/>
        <v>0</v>
      </c>
      <c r="DW102" s="189">
        <f t="shared" si="1152"/>
        <v>0</v>
      </c>
      <c r="DX102" s="54"/>
      <c r="DY102" s="54"/>
      <c r="DZ102" s="199">
        <f t="shared" ca="1" si="1055"/>
        <v>115152.16280752532</v>
      </c>
      <c r="EA102" s="200">
        <f t="shared" si="1153"/>
        <v>1</v>
      </c>
      <c r="EB102" s="201">
        <f t="shared" ca="1" si="1056"/>
        <v>98645.033953456805</v>
      </c>
      <c r="EC102" s="200">
        <f t="shared" si="1154"/>
        <v>1</v>
      </c>
      <c r="ED102" s="201" cm="1">
        <f t="array" ref="ED102">IF(LEFT($AG102,3)="Res",IF(OR($DN102&gt;External_Threshold,$DD102&gt;0),1*Uplift*AWE*(External),0),0)</f>
        <v>15481.186685962373</v>
      </c>
      <c r="EE102" s="200">
        <f t="shared" si="1155"/>
        <v>1</v>
      </c>
      <c r="EF102" s="201">
        <f t="shared" si="1057"/>
        <v>0</v>
      </c>
      <c r="EG102" s="203">
        <f t="shared" si="1156"/>
        <v>0</v>
      </c>
      <c r="EH102" s="199">
        <f t="shared" ca="1" si="1058"/>
        <v>0</v>
      </c>
      <c r="EI102" s="200">
        <f t="shared" si="1059"/>
        <v>0</v>
      </c>
      <c r="EJ102" s="201">
        <f t="shared" ca="1" si="1060"/>
        <v>0</v>
      </c>
      <c r="EK102" s="200">
        <f t="shared" si="1061"/>
        <v>0</v>
      </c>
      <c r="EL102" s="201" cm="1">
        <f t="array" ref="EL102">IF(LEFT($AG102,3)="Res",IF(OR($DO102&gt;External_Threshold,$DE102&gt;0),1*Uplift*AWE*(External),0),0)</f>
        <v>15481.186685962373</v>
      </c>
      <c r="EM102" s="200">
        <f t="shared" si="1062"/>
        <v>1</v>
      </c>
      <c r="EN102" s="201">
        <f t="shared" si="1063"/>
        <v>0</v>
      </c>
      <c r="EO102" s="203">
        <f t="shared" si="1157"/>
        <v>0</v>
      </c>
      <c r="EP102" s="199">
        <f t="shared" ca="1" si="1064"/>
        <v>0</v>
      </c>
      <c r="EQ102" s="200">
        <f t="shared" si="1065"/>
        <v>0</v>
      </c>
      <c r="ER102" s="201">
        <f t="shared" ca="1" si="1066"/>
        <v>0</v>
      </c>
      <c r="ES102" s="200">
        <f t="shared" si="1067"/>
        <v>0</v>
      </c>
      <c r="ET102" s="201" cm="1">
        <f t="array" ref="ET102">IF(LEFT($AG102,3)="Res",IF(OR($DP102&gt;External_Threshold,$DF102&gt;0),1*Uplift*AWE*(External),0),0)</f>
        <v>0</v>
      </c>
      <c r="EU102" s="200">
        <f t="shared" si="1068"/>
        <v>1</v>
      </c>
      <c r="EV102" s="201">
        <f t="shared" si="1069"/>
        <v>0</v>
      </c>
      <c r="EW102" s="203">
        <f t="shared" si="1158"/>
        <v>0</v>
      </c>
      <c r="EX102" s="199">
        <f t="shared" ca="1" si="1070"/>
        <v>0</v>
      </c>
      <c r="EY102" s="200">
        <f t="shared" si="1071"/>
        <v>0</v>
      </c>
      <c r="EZ102" s="201">
        <f t="shared" ca="1" si="1072"/>
        <v>0</v>
      </c>
      <c r="FA102" s="200">
        <f t="shared" si="1073"/>
        <v>0</v>
      </c>
      <c r="FB102" s="201" cm="1">
        <f t="array" ref="FB102">IF(LEFT($AG102,3)="Res",IF(OR($DQ102&gt;External_Threshold,$DG102&gt;0),1*Uplift*AWE*(External),0),0)</f>
        <v>0</v>
      </c>
      <c r="FC102" s="200">
        <f t="shared" si="1074"/>
        <v>0</v>
      </c>
      <c r="FD102" s="201">
        <f t="shared" si="1075"/>
        <v>0</v>
      </c>
      <c r="FE102" s="203">
        <f t="shared" si="1159"/>
        <v>0</v>
      </c>
      <c r="FF102" s="199">
        <f t="shared" ca="1" si="1076"/>
        <v>0</v>
      </c>
      <c r="FG102" s="200">
        <f t="shared" si="1077"/>
        <v>0</v>
      </c>
      <c r="FH102" s="201">
        <f t="shared" ca="1" si="1078"/>
        <v>0</v>
      </c>
      <c r="FI102" s="200">
        <f t="shared" si="1079"/>
        <v>0</v>
      </c>
      <c r="FJ102" s="201" cm="1">
        <f t="array" ref="FJ102">IF(LEFT($AG102,3)="Res",IF(OR($DR102&gt;External_Threshold,$DH102&gt;0),1*Uplift*AWE*(External),0),0)</f>
        <v>0</v>
      </c>
      <c r="FK102" s="200">
        <f t="shared" si="1080"/>
        <v>0</v>
      </c>
      <c r="FL102" s="201">
        <f t="shared" si="1081"/>
        <v>0</v>
      </c>
      <c r="FM102" s="203">
        <f t="shared" si="1160"/>
        <v>0</v>
      </c>
      <c r="FN102" s="199">
        <f t="shared" ca="1" si="1082"/>
        <v>0</v>
      </c>
      <c r="FO102" s="200">
        <f t="shared" si="1083"/>
        <v>0</v>
      </c>
      <c r="FP102" s="201">
        <f t="shared" ca="1" si="1084"/>
        <v>0</v>
      </c>
      <c r="FQ102" s="200">
        <f t="shared" si="1085"/>
        <v>0</v>
      </c>
      <c r="FR102" s="201" cm="1">
        <f t="array" ref="FR102">IF(LEFT($AG102,3)="Res",IF(OR($DS102&gt;External_Threshold,$DI102&gt;0),1*Uplift*AWE*(External),0),0)</f>
        <v>0</v>
      </c>
      <c r="FS102" s="200">
        <f t="shared" si="1086"/>
        <v>0</v>
      </c>
      <c r="FT102" s="201">
        <f t="shared" si="1087"/>
        <v>0</v>
      </c>
      <c r="FU102" s="203">
        <f t="shared" si="1161"/>
        <v>0</v>
      </c>
      <c r="FV102" s="199">
        <f t="shared" ca="1" si="1088"/>
        <v>0</v>
      </c>
      <c r="FW102" s="200">
        <f t="shared" si="1089"/>
        <v>0</v>
      </c>
      <c r="FX102" s="201">
        <f t="shared" ca="1" si="1090"/>
        <v>0</v>
      </c>
      <c r="FY102" s="200">
        <f t="shared" si="1091"/>
        <v>0</v>
      </c>
      <c r="FZ102" s="201" cm="1">
        <f t="array" ref="FZ102">IF(LEFT($AG102,3)="Res",IF(OR($DT102&gt;External_Threshold,$DJ102&gt;0),1*Uplift*AWE*(External),0),0)</f>
        <v>0</v>
      </c>
      <c r="GA102" s="200">
        <f t="shared" si="1092"/>
        <v>0</v>
      </c>
      <c r="GB102" s="201">
        <f t="shared" si="1093"/>
        <v>0</v>
      </c>
      <c r="GC102" s="203">
        <f t="shared" si="1162"/>
        <v>0</v>
      </c>
      <c r="GD102" s="199">
        <f t="shared" ca="1" si="1094"/>
        <v>0</v>
      </c>
      <c r="GE102" s="200">
        <f t="shared" si="1095"/>
        <v>0</v>
      </c>
      <c r="GF102" s="201">
        <f t="shared" ca="1" si="1096"/>
        <v>0</v>
      </c>
      <c r="GG102" s="200">
        <f t="shared" si="1097"/>
        <v>0</v>
      </c>
      <c r="GH102" s="201" cm="1">
        <f t="array" ref="GH102">IF(LEFT($AG102,3)="Res",IF(OR($DU102&gt;External_Threshold,$DK102&gt;0),1*Uplift*AWE*(External),0),0)</f>
        <v>0</v>
      </c>
      <c r="GI102" s="200">
        <f t="shared" si="1098"/>
        <v>0</v>
      </c>
      <c r="GJ102" s="201">
        <f t="shared" si="1099"/>
        <v>0</v>
      </c>
      <c r="GK102" s="203">
        <f t="shared" si="1163"/>
        <v>0</v>
      </c>
      <c r="GL102" s="199">
        <f t="shared" ca="1" si="1100"/>
        <v>0</v>
      </c>
      <c r="GM102" s="200">
        <f t="shared" si="1101"/>
        <v>0</v>
      </c>
      <c r="GN102" s="201">
        <f t="shared" ca="1" si="1102"/>
        <v>0</v>
      </c>
      <c r="GO102" s="200">
        <f t="shared" si="1103"/>
        <v>0</v>
      </c>
      <c r="GP102" s="201" cm="1">
        <f t="array" ref="GP102">IF(LEFT($AG102,3)="Res",IF(OR($DV102&gt;External_Threshold,$DL102&gt;0),1*Uplift*AWE*(External),0),0)</f>
        <v>0</v>
      </c>
      <c r="GQ102" s="200">
        <f t="shared" si="1104"/>
        <v>0</v>
      </c>
      <c r="GR102" s="201">
        <f t="shared" si="1105"/>
        <v>0</v>
      </c>
      <c r="GS102" s="203">
        <f t="shared" si="1164"/>
        <v>0</v>
      </c>
      <c r="GT102" s="199">
        <f t="shared" ca="1" si="1106"/>
        <v>0</v>
      </c>
      <c r="GU102" s="200">
        <f t="shared" si="1107"/>
        <v>0</v>
      </c>
      <c r="GV102" s="201">
        <f t="shared" ca="1" si="1108"/>
        <v>0</v>
      </c>
      <c r="GW102" s="200">
        <f t="shared" si="1109"/>
        <v>0</v>
      </c>
      <c r="GX102" s="201" cm="1">
        <f t="array" ref="GX102">IF(LEFT($AG102,3)="Res",IF(OR($DW102&gt;External_Threshold,$DM102&gt;0),1*Uplift*AWE*(External),0),0)</f>
        <v>0</v>
      </c>
      <c r="GY102" s="200">
        <f t="shared" si="1110"/>
        <v>0</v>
      </c>
      <c r="GZ102" s="201">
        <f t="shared" si="1111"/>
        <v>0</v>
      </c>
      <c r="HA102" s="203">
        <f t="shared" si="1165"/>
        <v>0</v>
      </c>
      <c r="HB102" s="54"/>
      <c r="HC102" s="54"/>
      <c r="HD102" s="54"/>
      <c r="HE102" s="54"/>
      <c r="HF102" s="54"/>
      <c r="HG102" s="201">
        <f t="shared" ca="1" si="1166"/>
        <v>229278.3834469445</v>
      </c>
      <c r="HH102" s="201">
        <f t="shared" ca="1" si="1167"/>
        <v>15481.186685962373</v>
      </c>
      <c r="HI102" s="201">
        <f t="shared" ca="1" si="1168"/>
        <v>0</v>
      </c>
      <c r="HJ102" s="201">
        <f t="shared" ca="1" si="1169"/>
        <v>0</v>
      </c>
      <c r="HK102" s="201">
        <f t="shared" ca="1" si="1170"/>
        <v>0</v>
      </c>
      <c r="HL102" s="201">
        <f t="shared" ca="1" si="1171"/>
        <v>0</v>
      </c>
      <c r="HM102" s="201">
        <f t="shared" ca="1" si="1172"/>
        <v>0</v>
      </c>
      <c r="HN102" s="201">
        <f t="shared" ca="1" si="1173"/>
        <v>0</v>
      </c>
      <c r="HO102" s="201">
        <f t="shared" ca="1" si="1174"/>
        <v>0</v>
      </c>
      <c r="HP102" s="201">
        <f t="shared" ca="1" si="1175"/>
        <v>0</v>
      </c>
      <c r="HQ102" s="54"/>
    </row>
    <row r="103" spans="1:225" x14ac:dyDescent="0.3">
      <c r="A103" s="513">
        <v>85</v>
      </c>
      <c r="B103" s="514" t="s">
        <v>508</v>
      </c>
      <c r="C103" s="514" t="s">
        <v>390</v>
      </c>
      <c r="D103" s="514" t="s">
        <v>390</v>
      </c>
      <c r="E103" s="513">
        <v>1</v>
      </c>
      <c r="F103" s="515">
        <v>7.11</v>
      </c>
      <c r="G103" s="515">
        <v>6.15</v>
      </c>
      <c r="H103" s="513">
        <v>1</v>
      </c>
      <c r="I103" s="517">
        <v>1</v>
      </c>
      <c r="J103" s="518" t="s">
        <v>44</v>
      </c>
      <c r="K103" s="513">
        <f t="shared" si="1044"/>
        <v>240</v>
      </c>
      <c r="L103" s="519">
        <v>9.4545454545454533</v>
      </c>
      <c r="M103" s="519">
        <v>6.6499999999999995</v>
      </c>
      <c r="N103" s="519">
        <v>6.35</v>
      </c>
      <c r="O103" s="519">
        <v>6.05</v>
      </c>
      <c r="P103" s="519">
        <v>5.55</v>
      </c>
      <c r="Q103" s="519">
        <v>5.03</v>
      </c>
      <c r="R103" s="519">
        <v>4.2300000000000004</v>
      </c>
      <c r="S103" s="519">
        <v>0</v>
      </c>
      <c r="T103" s="519">
        <v>0</v>
      </c>
      <c r="U103" s="519">
        <v>0</v>
      </c>
      <c r="V103" s="536"/>
      <c r="W103" s="536"/>
      <c r="X103" s="536"/>
      <c r="Y103" s="536"/>
      <c r="Z103" s="536"/>
      <c r="AA103" s="536"/>
      <c r="AB103" s="536"/>
      <c r="AC103" s="536"/>
      <c r="AD103" s="536"/>
      <c r="AE103" s="536"/>
      <c r="AF103" s="54"/>
      <c r="AG103" s="204" t="str">
        <f t="shared" si="1253"/>
        <v>Res1</v>
      </c>
      <c r="AH103" s="204">
        <f t="shared" si="1112"/>
        <v>6</v>
      </c>
      <c r="AI103" s="204">
        <f t="shared" si="1045"/>
        <v>1</v>
      </c>
      <c r="AJ103" s="54"/>
      <c r="AK103" s="74">
        <f>IFERROR(IF(H103&gt;4,0,AI103*Inputs!$C$55),0)</f>
        <v>2.6</v>
      </c>
      <c r="AL103" s="81">
        <f>IFERROR(Inputs!$C$73,0)</f>
        <v>5</v>
      </c>
      <c r="AM103" s="211">
        <f>IFERROR(Inputs!$C$74,0)</f>
        <v>0.24299999999999999</v>
      </c>
      <c r="AN103" s="446">
        <f>IFERROR(HLOOKUP(HLOOKUP(AN$17,$V$18:$AE103,COUNTA($AK$18:$AK103),FALSE),Inputs!$B$58:$H$59,2,FALSE),0)</f>
        <v>0</v>
      </c>
      <c r="AO103" s="447">
        <f t="shared" si="1113"/>
        <v>0</v>
      </c>
      <c r="AP103" s="447">
        <f t="shared" si="1114"/>
        <v>0</v>
      </c>
      <c r="AQ103" s="446">
        <f>IFERROR(HLOOKUP(HLOOKUP(AQ$17,$V$18:$AE103,COUNTA($AK$18:$AK103),FALSE),Inputs!$B$58:$H$59,2,FALSE),0)</f>
        <v>0</v>
      </c>
      <c r="AR103" s="447">
        <f t="shared" ref="AR103" si="1344">2*$AK103*AQ103*$AL103/100*$AM103</f>
        <v>0</v>
      </c>
      <c r="AS103" s="447">
        <f t="shared" si="1116"/>
        <v>0</v>
      </c>
      <c r="AT103" s="446">
        <f>IFERROR(HLOOKUP(HLOOKUP(AT$17,$V$18:$AE103,COUNTA($AK$18:$AK103),FALSE),Inputs!$B$58:$H$59,2,FALSE),0)</f>
        <v>0</v>
      </c>
      <c r="AU103" s="447">
        <f t="shared" ref="AU103" si="1345">2*$AK103*AT103*$AL103/100*$AM103</f>
        <v>0</v>
      </c>
      <c r="AV103" s="447">
        <f t="shared" si="1118"/>
        <v>0</v>
      </c>
      <c r="AW103" s="446">
        <f>IFERROR(HLOOKUP(HLOOKUP(AW$17,$V$18:$AE103,COUNTA($AK$18:$AK103),FALSE),Inputs!$B$58:$H$59,2,FALSE),0)</f>
        <v>0</v>
      </c>
      <c r="AX103" s="447">
        <f t="shared" ref="AX103" si="1346">2*$AK103*AW103*$AL103/100*$AM103</f>
        <v>0</v>
      </c>
      <c r="AY103" s="447">
        <f t="shared" si="1120"/>
        <v>0</v>
      </c>
      <c r="AZ103" s="446">
        <f>IFERROR(HLOOKUP(HLOOKUP(AZ$17,$V$18:$AE103,COUNTA($AK$18:$AK103),FALSE),Inputs!$B$58:$H$59,2,FALSE),0)</f>
        <v>0</v>
      </c>
      <c r="BA103" s="447">
        <f t="shared" ref="BA103" si="1347">2*$AK103*AZ103*$AL103/100*$AM103</f>
        <v>0</v>
      </c>
      <c r="BB103" s="447">
        <f t="shared" si="1122"/>
        <v>0</v>
      </c>
      <c r="BC103" s="446">
        <f>IFERROR(HLOOKUP(HLOOKUP(BC$17,$V$18:$AE103,COUNTA($AK$18:$AK103),FALSE),Inputs!$B$58:$H$59,2,FALSE),0)</f>
        <v>0</v>
      </c>
      <c r="BD103" s="447">
        <f t="shared" ref="BD103" si="1348">2*$AK103*BC103*$AL103/100*$AM103</f>
        <v>0</v>
      </c>
      <c r="BE103" s="447">
        <f t="shared" si="1124"/>
        <v>0</v>
      </c>
      <c r="BF103" s="446">
        <f>IFERROR(HLOOKUP(HLOOKUP(BF$17,$V$18:$AE103,COUNTA($AK$18:$AK103),FALSE),Inputs!$B$58:$H$59,2,FALSE),0)</f>
        <v>0</v>
      </c>
      <c r="BG103" s="447">
        <f t="shared" ref="BG103" si="1349">2*$AK103*BF103*$AL103/100*$AM103</f>
        <v>0</v>
      </c>
      <c r="BH103" s="447">
        <f t="shared" si="1126"/>
        <v>0</v>
      </c>
      <c r="BI103" s="446">
        <f>IFERROR(HLOOKUP(HLOOKUP(BI$17,$V$18:$AE103,COUNTA($AK$18:$AK103),FALSE),Inputs!$B$58:$H$59,2,FALSE),0)</f>
        <v>0</v>
      </c>
      <c r="BJ103" s="447">
        <f t="shared" ref="BJ103" si="1350">2*$AK103*BI103*$AL103/100*$AM103</f>
        <v>0</v>
      </c>
      <c r="BK103" s="447">
        <f t="shared" si="1128"/>
        <v>0</v>
      </c>
      <c r="BL103" s="446">
        <f>IFERROR(HLOOKUP(HLOOKUP(BL$17,$V$18:$AE103,COUNTA($AK$18:$AK103),FALSE),Inputs!$B$58:$H$59,2,FALSE),0)</f>
        <v>0</v>
      </c>
      <c r="BM103" s="447">
        <f t="shared" ref="BM103" si="1351">2*$AK103*BL103*$AL103/100*$AM103</f>
        <v>0</v>
      </c>
      <c r="BN103" s="447">
        <f t="shared" si="1130"/>
        <v>0</v>
      </c>
      <c r="BO103" s="446">
        <f>IFERROR(HLOOKUP(HLOOKUP(BO$17,$V$18:$AE103,COUNTA($AK$18:$AK103),FALSE),Inputs!$B$58:$H$59,2,FALSE),0)</f>
        <v>0</v>
      </c>
      <c r="BP103" s="447">
        <f t="shared" ref="BP103" si="1352">2*$AK103*BO103*$AL103/100*$AM103</f>
        <v>0</v>
      </c>
      <c r="BQ103" s="447">
        <f t="shared" si="1132"/>
        <v>0</v>
      </c>
      <c r="BR103" s="54"/>
      <c r="BS103" s="103">
        <f t="shared" ca="1" si="1203"/>
        <v>176.49035835021709</v>
      </c>
      <c r="BT103" s="103">
        <f t="shared" ca="1" si="1204"/>
        <v>127.65809490825615</v>
      </c>
      <c r="BU103" s="103">
        <f t="shared" si="1205"/>
        <v>54.02934153400868</v>
      </c>
      <c r="BV103" s="103">
        <f t="shared" si="1206"/>
        <v>0</v>
      </c>
      <c r="BW103" s="152">
        <f t="shared" ca="1" si="1207"/>
        <v>358.1777947924819</v>
      </c>
      <c r="BX103" s="441"/>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188">
        <f t="shared" si="1133"/>
        <v>2.3445454545454529</v>
      </c>
      <c r="DE103" s="188">
        <f t="shared" si="1134"/>
        <v>-0.3</v>
      </c>
      <c r="DF103" s="188">
        <f t="shared" si="1135"/>
        <v>-0.3</v>
      </c>
      <c r="DG103" s="188">
        <f t="shared" si="1136"/>
        <v>-0.3</v>
      </c>
      <c r="DH103" s="188">
        <f t="shared" si="1137"/>
        <v>-0.3</v>
      </c>
      <c r="DI103" s="188">
        <f t="shared" si="1138"/>
        <v>-0.3</v>
      </c>
      <c r="DJ103" s="188">
        <f t="shared" si="1139"/>
        <v>-0.3</v>
      </c>
      <c r="DK103" s="188">
        <f t="shared" si="1140"/>
        <v>-0.3</v>
      </c>
      <c r="DL103" s="188">
        <f t="shared" si="1141"/>
        <v>-0.3</v>
      </c>
      <c r="DM103" s="188">
        <f t="shared" si="1142"/>
        <v>-0.3</v>
      </c>
      <c r="DN103" s="189">
        <f t="shared" si="1143"/>
        <v>3.3045454545454529</v>
      </c>
      <c r="DO103" s="189">
        <f t="shared" si="1144"/>
        <v>0.49999999999999911</v>
      </c>
      <c r="DP103" s="189">
        <f t="shared" si="1145"/>
        <v>0.19999999999999929</v>
      </c>
      <c r="DQ103" s="189">
        <f t="shared" si="1146"/>
        <v>0</v>
      </c>
      <c r="DR103" s="189">
        <f t="shared" si="1147"/>
        <v>0</v>
      </c>
      <c r="DS103" s="189">
        <f t="shared" si="1148"/>
        <v>0</v>
      </c>
      <c r="DT103" s="189">
        <f t="shared" si="1149"/>
        <v>0</v>
      </c>
      <c r="DU103" s="189">
        <f t="shared" si="1150"/>
        <v>0</v>
      </c>
      <c r="DV103" s="189">
        <f t="shared" si="1151"/>
        <v>0</v>
      </c>
      <c r="DW103" s="189">
        <f t="shared" si="1152"/>
        <v>0</v>
      </c>
      <c r="DX103" s="54"/>
      <c r="DY103" s="54"/>
      <c r="DZ103" s="199">
        <f t="shared" ca="1" si="1055"/>
        <v>177377.24457308251</v>
      </c>
      <c r="EA103" s="200">
        <f t="shared" si="1153"/>
        <v>1</v>
      </c>
      <c r="EB103" s="201">
        <f t="shared" ca="1" si="1056"/>
        <v>128299.59287261924</v>
      </c>
      <c r="EC103" s="200">
        <f t="shared" si="1154"/>
        <v>1</v>
      </c>
      <c r="ED103" s="201" cm="1">
        <f t="array" ref="ED103">IF(LEFT($AG103,3)="Res",IF(OR($DN103&gt;External_Threshold,$DD103&gt;0),1*Uplift*AWE*(External),0),0)</f>
        <v>15481.186685962373</v>
      </c>
      <c r="EE103" s="200">
        <f t="shared" si="1155"/>
        <v>1</v>
      </c>
      <c r="EF103" s="201">
        <f t="shared" si="1057"/>
        <v>0</v>
      </c>
      <c r="EG103" s="203">
        <f t="shared" si="1156"/>
        <v>0</v>
      </c>
      <c r="EH103" s="199">
        <f t="shared" ca="1" si="1058"/>
        <v>0</v>
      </c>
      <c r="EI103" s="200">
        <f t="shared" si="1059"/>
        <v>0</v>
      </c>
      <c r="EJ103" s="201">
        <f t="shared" ca="1" si="1060"/>
        <v>0</v>
      </c>
      <c r="EK103" s="200">
        <f t="shared" si="1061"/>
        <v>0</v>
      </c>
      <c r="EL103" s="201" cm="1">
        <f t="array" ref="EL103">IF(LEFT($AG103,3)="Res",IF(OR($DO103&gt;External_Threshold,$DE103&gt;0),1*Uplift*AWE*(External),0),0)</f>
        <v>15481.186685962373</v>
      </c>
      <c r="EM103" s="200">
        <f t="shared" si="1062"/>
        <v>1</v>
      </c>
      <c r="EN103" s="201">
        <f t="shared" si="1063"/>
        <v>0</v>
      </c>
      <c r="EO103" s="203">
        <f t="shared" si="1157"/>
        <v>0</v>
      </c>
      <c r="EP103" s="199">
        <f t="shared" ca="1" si="1064"/>
        <v>0</v>
      </c>
      <c r="EQ103" s="200">
        <f t="shared" si="1065"/>
        <v>0</v>
      </c>
      <c r="ER103" s="201">
        <f t="shared" ca="1" si="1066"/>
        <v>0</v>
      </c>
      <c r="ES103" s="200">
        <f t="shared" si="1067"/>
        <v>0</v>
      </c>
      <c r="ET103" s="201" cm="1">
        <f t="array" ref="ET103">IF(LEFT($AG103,3)="Res",IF(OR($DP103&gt;External_Threshold,$DF103&gt;0),1*Uplift*AWE*(External),0),0)</f>
        <v>0</v>
      </c>
      <c r="EU103" s="200">
        <f t="shared" si="1068"/>
        <v>1</v>
      </c>
      <c r="EV103" s="201">
        <f t="shared" si="1069"/>
        <v>0</v>
      </c>
      <c r="EW103" s="203">
        <f t="shared" si="1158"/>
        <v>0</v>
      </c>
      <c r="EX103" s="199">
        <f t="shared" ca="1" si="1070"/>
        <v>0</v>
      </c>
      <c r="EY103" s="200">
        <f t="shared" si="1071"/>
        <v>0</v>
      </c>
      <c r="EZ103" s="201">
        <f t="shared" ca="1" si="1072"/>
        <v>0</v>
      </c>
      <c r="FA103" s="200">
        <f t="shared" si="1073"/>
        <v>0</v>
      </c>
      <c r="FB103" s="201" cm="1">
        <f t="array" ref="FB103">IF(LEFT($AG103,3)="Res",IF(OR($DQ103&gt;External_Threshold,$DG103&gt;0),1*Uplift*AWE*(External),0),0)</f>
        <v>0</v>
      </c>
      <c r="FC103" s="200">
        <f t="shared" si="1074"/>
        <v>0</v>
      </c>
      <c r="FD103" s="201">
        <f t="shared" si="1075"/>
        <v>0</v>
      </c>
      <c r="FE103" s="203">
        <f t="shared" si="1159"/>
        <v>0</v>
      </c>
      <c r="FF103" s="199">
        <f t="shared" ca="1" si="1076"/>
        <v>0</v>
      </c>
      <c r="FG103" s="200">
        <f t="shared" si="1077"/>
        <v>0</v>
      </c>
      <c r="FH103" s="201">
        <f t="shared" ca="1" si="1078"/>
        <v>0</v>
      </c>
      <c r="FI103" s="200">
        <f t="shared" si="1079"/>
        <v>0</v>
      </c>
      <c r="FJ103" s="201" cm="1">
        <f t="array" ref="FJ103">IF(LEFT($AG103,3)="Res",IF(OR($DR103&gt;External_Threshold,$DH103&gt;0),1*Uplift*AWE*(External),0),0)</f>
        <v>0</v>
      </c>
      <c r="FK103" s="200">
        <f t="shared" si="1080"/>
        <v>0</v>
      </c>
      <c r="FL103" s="201">
        <f t="shared" si="1081"/>
        <v>0</v>
      </c>
      <c r="FM103" s="203">
        <f t="shared" si="1160"/>
        <v>0</v>
      </c>
      <c r="FN103" s="199">
        <f t="shared" ca="1" si="1082"/>
        <v>0</v>
      </c>
      <c r="FO103" s="200">
        <f t="shared" si="1083"/>
        <v>0</v>
      </c>
      <c r="FP103" s="201">
        <f t="shared" ca="1" si="1084"/>
        <v>0</v>
      </c>
      <c r="FQ103" s="200">
        <f t="shared" si="1085"/>
        <v>0</v>
      </c>
      <c r="FR103" s="201" cm="1">
        <f t="array" ref="FR103">IF(LEFT($AG103,3)="Res",IF(OR($DS103&gt;External_Threshold,$DI103&gt;0),1*Uplift*AWE*(External),0),0)</f>
        <v>0</v>
      </c>
      <c r="FS103" s="200">
        <f t="shared" si="1086"/>
        <v>0</v>
      </c>
      <c r="FT103" s="201">
        <f t="shared" si="1087"/>
        <v>0</v>
      </c>
      <c r="FU103" s="203">
        <f t="shared" si="1161"/>
        <v>0</v>
      </c>
      <c r="FV103" s="199">
        <f t="shared" ca="1" si="1088"/>
        <v>0</v>
      </c>
      <c r="FW103" s="200">
        <f t="shared" si="1089"/>
        <v>0</v>
      </c>
      <c r="FX103" s="201">
        <f t="shared" ca="1" si="1090"/>
        <v>0</v>
      </c>
      <c r="FY103" s="200">
        <f t="shared" si="1091"/>
        <v>0</v>
      </c>
      <c r="FZ103" s="201" cm="1">
        <f t="array" ref="FZ103">IF(LEFT($AG103,3)="Res",IF(OR($DT103&gt;External_Threshold,$DJ103&gt;0),1*Uplift*AWE*(External),0),0)</f>
        <v>0</v>
      </c>
      <c r="GA103" s="200">
        <f t="shared" si="1092"/>
        <v>0</v>
      </c>
      <c r="GB103" s="201">
        <f t="shared" si="1093"/>
        <v>0</v>
      </c>
      <c r="GC103" s="203">
        <f t="shared" si="1162"/>
        <v>0</v>
      </c>
      <c r="GD103" s="199">
        <f t="shared" ca="1" si="1094"/>
        <v>0</v>
      </c>
      <c r="GE103" s="200">
        <f t="shared" si="1095"/>
        <v>0</v>
      </c>
      <c r="GF103" s="201">
        <f t="shared" ca="1" si="1096"/>
        <v>0</v>
      </c>
      <c r="GG103" s="200">
        <f t="shared" si="1097"/>
        <v>0</v>
      </c>
      <c r="GH103" s="201" cm="1">
        <f t="array" ref="GH103">IF(LEFT($AG103,3)="Res",IF(OR($DU103&gt;External_Threshold,$DK103&gt;0),1*Uplift*AWE*(External),0),0)</f>
        <v>0</v>
      </c>
      <c r="GI103" s="200">
        <f t="shared" si="1098"/>
        <v>0</v>
      </c>
      <c r="GJ103" s="201">
        <f t="shared" si="1099"/>
        <v>0</v>
      </c>
      <c r="GK103" s="203">
        <f t="shared" si="1163"/>
        <v>0</v>
      </c>
      <c r="GL103" s="199">
        <f t="shared" ca="1" si="1100"/>
        <v>0</v>
      </c>
      <c r="GM103" s="200">
        <f t="shared" si="1101"/>
        <v>0</v>
      </c>
      <c r="GN103" s="201">
        <f t="shared" ca="1" si="1102"/>
        <v>0</v>
      </c>
      <c r="GO103" s="200">
        <f t="shared" si="1103"/>
        <v>0</v>
      </c>
      <c r="GP103" s="201" cm="1">
        <f t="array" ref="GP103">IF(LEFT($AG103,3)="Res",IF(OR($DV103&gt;External_Threshold,$DL103&gt;0),1*Uplift*AWE*(External),0),0)</f>
        <v>0</v>
      </c>
      <c r="GQ103" s="200">
        <f t="shared" si="1104"/>
        <v>0</v>
      </c>
      <c r="GR103" s="201">
        <f t="shared" si="1105"/>
        <v>0</v>
      </c>
      <c r="GS103" s="203">
        <f t="shared" si="1164"/>
        <v>0</v>
      </c>
      <c r="GT103" s="199">
        <f t="shared" ca="1" si="1106"/>
        <v>0</v>
      </c>
      <c r="GU103" s="200">
        <f t="shared" si="1107"/>
        <v>0</v>
      </c>
      <c r="GV103" s="201">
        <f t="shared" ca="1" si="1108"/>
        <v>0</v>
      </c>
      <c r="GW103" s="200">
        <f t="shared" si="1109"/>
        <v>0</v>
      </c>
      <c r="GX103" s="201" cm="1">
        <f t="array" ref="GX103">IF(LEFT($AG103,3)="Res",IF(OR($DW103&gt;External_Threshold,$DM103&gt;0),1*Uplift*AWE*(External),0),0)</f>
        <v>0</v>
      </c>
      <c r="GY103" s="200">
        <f t="shared" si="1110"/>
        <v>0</v>
      </c>
      <c r="GZ103" s="201">
        <f t="shared" si="1111"/>
        <v>0</v>
      </c>
      <c r="HA103" s="203">
        <f t="shared" si="1165"/>
        <v>0</v>
      </c>
      <c r="HB103" s="54"/>
      <c r="HC103" s="54"/>
      <c r="HD103" s="54"/>
      <c r="HE103" s="54"/>
      <c r="HF103" s="54"/>
      <c r="HG103" s="201">
        <f t="shared" ca="1" si="1166"/>
        <v>321158.02413166413</v>
      </c>
      <c r="HH103" s="201">
        <f t="shared" ca="1" si="1167"/>
        <v>15481.186685962373</v>
      </c>
      <c r="HI103" s="201">
        <f t="shared" ca="1" si="1168"/>
        <v>0</v>
      </c>
      <c r="HJ103" s="201">
        <f t="shared" ca="1" si="1169"/>
        <v>0</v>
      </c>
      <c r="HK103" s="201">
        <f t="shared" ca="1" si="1170"/>
        <v>0</v>
      </c>
      <c r="HL103" s="201">
        <f t="shared" ca="1" si="1171"/>
        <v>0</v>
      </c>
      <c r="HM103" s="201">
        <f t="shared" ca="1" si="1172"/>
        <v>0</v>
      </c>
      <c r="HN103" s="201">
        <f t="shared" ca="1" si="1173"/>
        <v>0</v>
      </c>
      <c r="HO103" s="201">
        <f t="shared" ca="1" si="1174"/>
        <v>0</v>
      </c>
      <c r="HP103" s="201">
        <f t="shared" ca="1" si="1175"/>
        <v>0</v>
      </c>
      <c r="HQ103" s="54"/>
    </row>
    <row r="104" spans="1:225" x14ac:dyDescent="0.3">
      <c r="A104" s="513">
        <v>86</v>
      </c>
      <c r="B104" s="514" t="s">
        <v>509</v>
      </c>
      <c r="C104" s="514" t="s">
        <v>390</v>
      </c>
      <c r="D104" s="514" t="s">
        <v>390</v>
      </c>
      <c r="E104" s="513">
        <v>1</v>
      </c>
      <c r="F104" s="515">
        <v>6.64</v>
      </c>
      <c r="G104" s="515">
        <v>4.88</v>
      </c>
      <c r="H104" s="513">
        <v>1</v>
      </c>
      <c r="I104" s="517">
        <v>1</v>
      </c>
      <c r="J104" s="518" t="s">
        <v>295</v>
      </c>
      <c r="K104" s="513">
        <f t="shared" si="1044"/>
        <v>220</v>
      </c>
      <c r="L104" s="519">
        <v>9.4545454545454533</v>
      </c>
      <c r="M104" s="519">
        <v>6.6499999999999995</v>
      </c>
      <c r="N104" s="519">
        <v>6.35</v>
      </c>
      <c r="O104" s="519">
        <v>6.05</v>
      </c>
      <c r="P104" s="519">
        <v>5.55</v>
      </c>
      <c r="Q104" s="519">
        <v>5.03</v>
      </c>
      <c r="R104" s="519">
        <v>4.2300000000000004</v>
      </c>
      <c r="S104" s="519">
        <v>0</v>
      </c>
      <c r="T104" s="519">
        <v>0</v>
      </c>
      <c r="U104" s="519">
        <v>0</v>
      </c>
      <c r="V104" s="536"/>
      <c r="W104" s="536"/>
      <c r="X104" s="536"/>
      <c r="Y104" s="536"/>
      <c r="Z104" s="536"/>
      <c r="AA104" s="536"/>
      <c r="AB104" s="536"/>
      <c r="AC104" s="536"/>
      <c r="AD104" s="536"/>
      <c r="AE104" s="536"/>
      <c r="AF104" s="54"/>
      <c r="AG104" s="204" t="str">
        <f t="shared" si="1253"/>
        <v>Res1</v>
      </c>
      <c r="AH104" s="204">
        <f t="shared" si="1112"/>
        <v>6</v>
      </c>
      <c r="AI104" s="204">
        <f t="shared" si="1045"/>
        <v>1</v>
      </c>
      <c r="AJ104" s="54"/>
      <c r="AK104" s="74">
        <f>IFERROR(IF(H104&gt;4,0,AI104*Inputs!$C$55),0)</f>
        <v>2.6</v>
      </c>
      <c r="AL104" s="81">
        <f>IFERROR(Inputs!$C$73,0)</f>
        <v>5</v>
      </c>
      <c r="AM104" s="211">
        <f>IFERROR(Inputs!$C$74,0)</f>
        <v>0.24299999999999999</v>
      </c>
      <c r="AN104" s="446">
        <f>IFERROR(HLOOKUP(HLOOKUP(AN$17,$V$18:$AE104,COUNTA($AK$18:$AK104),FALSE),Inputs!$B$58:$H$59,2,FALSE),0)</f>
        <v>0</v>
      </c>
      <c r="AO104" s="447">
        <f t="shared" si="1113"/>
        <v>0</v>
      </c>
      <c r="AP104" s="447">
        <f t="shared" si="1114"/>
        <v>0</v>
      </c>
      <c r="AQ104" s="446">
        <f>IFERROR(HLOOKUP(HLOOKUP(AQ$17,$V$18:$AE104,COUNTA($AK$18:$AK104),FALSE),Inputs!$B$58:$H$59,2,FALSE),0)</f>
        <v>0</v>
      </c>
      <c r="AR104" s="447">
        <f t="shared" ref="AR104" si="1353">2*$AK104*AQ104*$AL104/100*$AM104</f>
        <v>0</v>
      </c>
      <c r="AS104" s="447">
        <f t="shared" si="1116"/>
        <v>0</v>
      </c>
      <c r="AT104" s="446">
        <f>IFERROR(HLOOKUP(HLOOKUP(AT$17,$V$18:$AE104,COUNTA($AK$18:$AK104),FALSE),Inputs!$B$58:$H$59,2,FALSE),0)</f>
        <v>0</v>
      </c>
      <c r="AU104" s="447">
        <f t="shared" ref="AU104" si="1354">2*$AK104*AT104*$AL104/100*$AM104</f>
        <v>0</v>
      </c>
      <c r="AV104" s="447">
        <f t="shared" si="1118"/>
        <v>0</v>
      </c>
      <c r="AW104" s="446">
        <f>IFERROR(HLOOKUP(HLOOKUP(AW$17,$V$18:$AE104,COUNTA($AK$18:$AK104),FALSE),Inputs!$B$58:$H$59,2,FALSE),0)</f>
        <v>0</v>
      </c>
      <c r="AX104" s="447">
        <f t="shared" ref="AX104" si="1355">2*$AK104*AW104*$AL104/100*$AM104</f>
        <v>0</v>
      </c>
      <c r="AY104" s="447">
        <f t="shared" si="1120"/>
        <v>0</v>
      </c>
      <c r="AZ104" s="446">
        <f>IFERROR(HLOOKUP(HLOOKUP(AZ$17,$V$18:$AE104,COUNTA($AK$18:$AK104),FALSE),Inputs!$B$58:$H$59,2,FALSE),0)</f>
        <v>0</v>
      </c>
      <c r="BA104" s="447">
        <f t="shared" ref="BA104" si="1356">2*$AK104*AZ104*$AL104/100*$AM104</f>
        <v>0</v>
      </c>
      <c r="BB104" s="447">
        <f t="shared" si="1122"/>
        <v>0</v>
      </c>
      <c r="BC104" s="446">
        <f>IFERROR(HLOOKUP(HLOOKUP(BC$17,$V$18:$AE104,COUNTA($AK$18:$AK104),FALSE),Inputs!$B$58:$H$59,2,FALSE),0)</f>
        <v>0</v>
      </c>
      <c r="BD104" s="447">
        <f t="shared" ref="BD104" si="1357">2*$AK104*BC104*$AL104/100*$AM104</f>
        <v>0</v>
      </c>
      <c r="BE104" s="447">
        <f t="shared" si="1124"/>
        <v>0</v>
      </c>
      <c r="BF104" s="446">
        <f>IFERROR(HLOOKUP(HLOOKUP(BF$17,$V$18:$AE104,COUNTA($AK$18:$AK104),FALSE),Inputs!$B$58:$H$59,2,FALSE),0)</f>
        <v>0</v>
      </c>
      <c r="BG104" s="447">
        <f t="shared" ref="BG104" si="1358">2*$AK104*BF104*$AL104/100*$AM104</f>
        <v>0</v>
      </c>
      <c r="BH104" s="447">
        <f t="shared" si="1126"/>
        <v>0</v>
      </c>
      <c r="BI104" s="446">
        <f>IFERROR(HLOOKUP(HLOOKUP(BI$17,$V$18:$AE104,COUNTA($AK$18:$AK104),FALSE),Inputs!$B$58:$H$59,2,FALSE),0)</f>
        <v>0</v>
      </c>
      <c r="BJ104" s="447">
        <f t="shared" ref="BJ104" si="1359">2*$AK104*BI104*$AL104/100*$AM104</f>
        <v>0</v>
      </c>
      <c r="BK104" s="447">
        <f t="shared" si="1128"/>
        <v>0</v>
      </c>
      <c r="BL104" s="446">
        <f>IFERROR(HLOOKUP(HLOOKUP(BL$17,$V$18:$AE104,COUNTA($AK$18:$AK104),FALSE),Inputs!$B$58:$H$59,2,FALSE),0)</f>
        <v>0</v>
      </c>
      <c r="BM104" s="447">
        <f t="shared" ref="BM104" si="1360">2*$AK104*BL104*$AL104/100*$AM104</f>
        <v>0</v>
      </c>
      <c r="BN104" s="447">
        <f t="shared" si="1130"/>
        <v>0</v>
      </c>
      <c r="BO104" s="446">
        <f>IFERROR(HLOOKUP(HLOOKUP(BO$17,$V$18:$AE104,COUNTA($AK$18:$AK104),FALSE),Inputs!$B$58:$H$59,2,FALSE),0)</f>
        <v>0</v>
      </c>
      <c r="BP104" s="447">
        <f t="shared" ref="BP104" si="1361">2*$AK104*BO104*$AL104/100*$AM104</f>
        <v>0</v>
      </c>
      <c r="BQ104" s="447">
        <f t="shared" si="1132"/>
        <v>0</v>
      </c>
      <c r="BR104" s="54"/>
      <c r="BS104" s="103">
        <f t="shared" ca="1" si="1203"/>
        <v>218.22918577424022</v>
      </c>
      <c r="BT104" s="103">
        <f t="shared" ca="1" si="1204"/>
        <v>128.49372610700738</v>
      </c>
      <c r="BU104" s="103">
        <f t="shared" si="1205"/>
        <v>541.68672214182345</v>
      </c>
      <c r="BV104" s="103">
        <f t="shared" si="1206"/>
        <v>0</v>
      </c>
      <c r="BW104" s="152">
        <f t="shared" ca="1" si="1207"/>
        <v>888.40963402307102</v>
      </c>
      <c r="BX104" s="441"/>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188">
        <f t="shared" si="1133"/>
        <v>2.8145454545454536</v>
      </c>
      <c r="DE104" s="188">
        <f t="shared" si="1134"/>
        <v>9.9999999999997868E-3</v>
      </c>
      <c r="DF104" s="188">
        <f t="shared" si="1135"/>
        <v>-0.29000000000000004</v>
      </c>
      <c r="DG104" s="188">
        <f t="shared" si="1136"/>
        <v>-0.3</v>
      </c>
      <c r="DH104" s="188">
        <f t="shared" si="1137"/>
        <v>-0.3</v>
      </c>
      <c r="DI104" s="188">
        <f t="shared" si="1138"/>
        <v>-0.3</v>
      </c>
      <c r="DJ104" s="188">
        <f t="shared" si="1139"/>
        <v>-0.3</v>
      </c>
      <c r="DK104" s="188">
        <f t="shared" si="1140"/>
        <v>-0.3</v>
      </c>
      <c r="DL104" s="188">
        <f t="shared" si="1141"/>
        <v>-0.3</v>
      </c>
      <c r="DM104" s="188">
        <f t="shared" si="1142"/>
        <v>-0.3</v>
      </c>
      <c r="DN104" s="189">
        <f t="shared" si="1143"/>
        <v>4.5745454545454534</v>
      </c>
      <c r="DO104" s="189">
        <f t="shared" si="1144"/>
        <v>1.7699999999999996</v>
      </c>
      <c r="DP104" s="189">
        <f t="shared" si="1145"/>
        <v>1.4699999999999998</v>
      </c>
      <c r="DQ104" s="189">
        <f t="shared" si="1146"/>
        <v>1.17</v>
      </c>
      <c r="DR104" s="189">
        <f t="shared" si="1147"/>
        <v>0.66999999999999993</v>
      </c>
      <c r="DS104" s="189">
        <f t="shared" si="1148"/>
        <v>0.15000000000000036</v>
      </c>
      <c r="DT104" s="189">
        <f t="shared" si="1149"/>
        <v>0</v>
      </c>
      <c r="DU104" s="189">
        <f t="shared" si="1150"/>
        <v>0</v>
      </c>
      <c r="DV104" s="189">
        <f t="shared" si="1151"/>
        <v>0</v>
      </c>
      <c r="DW104" s="189">
        <f t="shared" si="1152"/>
        <v>0</v>
      </c>
      <c r="DX104" s="54"/>
      <c r="DY104" s="54"/>
      <c r="DZ104" s="199">
        <f t="shared" ca="1" si="1055"/>
        <v>200537.0998552822</v>
      </c>
      <c r="EA104" s="200">
        <f t="shared" si="1153"/>
        <v>1</v>
      </c>
      <c r="EB104" s="201">
        <f t="shared" ca="1" si="1056"/>
        <v>129139.423223123</v>
      </c>
      <c r="EC104" s="200">
        <f t="shared" si="1154"/>
        <v>1</v>
      </c>
      <c r="ED104" s="201" cm="1">
        <f t="array" ref="ED104">IF(LEFT($AG104,3)="Res",IF(OR($DN104&gt;External_Threshold,$DD104&gt;0),1*Uplift*AWE*(External),0),0)</f>
        <v>15481.186685962373</v>
      </c>
      <c r="EE104" s="200">
        <f t="shared" si="1155"/>
        <v>1</v>
      </c>
      <c r="EF104" s="201">
        <f t="shared" si="1057"/>
        <v>0</v>
      </c>
      <c r="EG104" s="203">
        <f t="shared" si="1156"/>
        <v>0</v>
      </c>
      <c r="EH104" s="199">
        <f t="shared" ca="1" si="1058"/>
        <v>7492.8943560057887</v>
      </c>
      <c r="EI104" s="200">
        <f t="shared" si="1059"/>
        <v>1</v>
      </c>
      <c r="EJ104" s="201">
        <f t="shared" ca="1" si="1060"/>
        <v>0</v>
      </c>
      <c r="EK104" s="200">
        <f t="shared" si="1061"/>
        <v>1</v>
      </c>
      <c r="EL104" s="201" cm="1">
        <f t="array" ref="EL104">IF(LEFT($AG104,3)="Res",IF(OR($DO104&gt;External_Threshold,$DE104&gt;0),1*Uplift*AWE*(External),0),0)</f>
        <v>15481.186685962373</v>
      </c>
      <c r="EM104" s="200">
        <f t="shared" si="1062"/>
        <v>1</v>
      </c>
      <c r="EN104" s="201">
        <f t="shared" si="1063"/>
        <v>0</v>
      </c>
      <c r="EO104" s="203">
        <f t="shared" si="1157"/>
        <v>0</v>
      </c>
      <c r="EP104" s="199">
        <f t="shared" ca="1" si="1064"/>
        <v>0</v>
      </c>
      <c r="EQ104" s="200">
        <f t="shared" si="1065"/>
        <v>0</v>
      </c>
      <c r="ER104" s="201">
        <f t="shared" ca="1" si="1066"/>
        <v>0</v>
      </c>
      <c r="ES104" s="200">
        <f t="shared" si="1067"/>
        <v>0</v>
      </c>
      <c r="ET104" s="201" cm="1">
        <f t="array" ref="ET104">IF(LEFT($AG104,3)="Res",IF(OR($DP104&gt;External_Threshold,$DF104&gt;0),1*Uplift*AWE*(External),0),0)</f>
        <v>15481.186685962373</v>
      </c>
      <c r="EU104" s="200">
        <f t="shared" si="1068"/>
        <v>1</v>
      </c>
      <c r="EV104" s="201">
        <f t="shared" si="1069"/>
        <v>0</v>
      </c>
      <c r="EW104" s="203">
        <f t="shared" si="1158"/>
        <v>0</v>
      </c>
      <c r="EX104" s="199">
        <f t="shared" ca="1" si="1070"/>
        <v>0</v>
      </c>
      <c r="EY104" s="200">
        <f t="shared" si="1071"/>
        <v>0</v>
      </c>
      <c r="EZ104" s="201">
        <f t="shared" ca="1" si="1072"/>
        <v>0</v>
      </c>
      <c r="FA104" s="200">
        <f t="shared" si="1073"/>
        <v>0</v>
      </c>
      <c r="FB104" s="201" cm="1">
        <f t="array" ref="FB104">IF(LEFT($AG104,3)="Res",IF(OR($DQ104&gt;External_Threshold,$DG104&gt;0),1*Uplift*AWE*(External),0),0)</f>
        <v>15481.186685962373</v>
      </c>
      <c r="FC104" s="200">
        <f t="shared" si="1074"/>
        <v>1</v>
      </c>
      <c r="FD104" s="201">
        <f t="shared" si="1075"/>
        <v>0</v>
      </c>
      <c r="FE104" s="203">
        <f t="shared" si="1159"/>
        <v>0</v>
      </c>
      <c r="FF104" s="199">
        <f t="shared" ca="1" si="1076"/>
        <v>0</v>
      </c>
      <c r="FG104" s="200">
        <f t="shared" si="1077"/>
        <v>0</v>
      </c>
      <c r="FH104" s="201">
        <f t="shared" ca="1" si="1078"/>
        <v>0</v>
      </c>
      <c r="FI104" s="200">
        <f t="shared" si="1079"/>
        <v>0</v>
      </c>
      <c r="FJ104" s="201" cm="1">
        <f t="array" ref="FJ104">IF(LEFT($AG104,3)="Res",IF(OR($DR104&gt;External_Threshold,$DH104&gt;0),1*Uplift*AWE*(External),0),0)</f>
        <v>15481.186685962373</v>
      </c>
      <c r="FK104" s="200">
        <f t="shared" si="1080"/>
        <v>1</v>
      </c>
      <c r="FL104" s="201">
        <f t="shared" si="1081"/>
        <v>0</v>
      </c>
      <c r="FM104" s="203">
        <f t="shared" si="1160"/>
        <v>0</v>
      </c>
      <c r="FN104" s="199">
        <f t="shared" ca="1" si="1082"/>
        <v>0</v>
      </c>
      <c r="FO104" s="200">
        <f t="shared" si="1083"/>
        <v>0</v>
      </c>
      <c r="FP104" s="201">
        <f t="shared" ca="1" si="1084"/>
        <v>0</v>
      </c>
      <c r="FQ104" s="200">
        <f t="shared" si="1085"/>
        <v>0</v>
      </c>
      <c r="FR104" s="201" cm="1">
        <f t="array" ref="FR104">IF(LEFT($AG104,3)="Res",IF(OR($DS104&gt;External_Threshold,$DI104&gt;0),1*Uplift*AWE*(External),0),0)</f>
        <v>0</v>
      </c>
      <c r="FS104" s="200">
        <f t="shared" si="1086"/>
        <v>1</v>
      </c>
      <c r="FT104" s="201">
        <f t="shared" si="1087"/>
        <v>0</v>
      </c>
      <c r="FU104" s="203">
        <f t="shared" si="1161"/>
        <v>0</v>
      </c>
      <c r="FV104" s="199">
        <f t="shared" ca="1" si="1088"/>
        <v>0</v>
      </c>
      <c r="FW104" s="200">
        <f t="shared" si="1089"/>
        <v>0</v>
      </c>
      <c r="FX104" s="201">
        <f t="shared" ca="1" si="1090"/>
        <v>0</v>
      </c>
      <c r="FY104" s="200">
        <f t="shared" si="1091"/>
        <v>0</v>
      </c>
      <c r="FZ104" s="201" cm="1">
        <f t="array" ref="FZ104">IF(LEFT($AG104,3)="Res",IF(OR($DT104&gt;External_Threshold,$DJ104&gt;0),1*Uplift*AWE*(External),0),0)</f>
        <v>0</v>
      </c>
      <c r="GA104" s="200">
        <f t="shared" si="1092"/>
        <v>0</v>
      </c>
      <c r="GB104" s="201">
        <f t="shared" si="1093"/>
        <v>0</v>
      </c>
      <c r="GC104" s="203">
        <f t="shared" si="1162"/>
        <v>0</v>
      </c>
      <c r="GD104" s="199">
        <f t="shared" ca="1" si="1094"/>
        <v>0</v>
      </c>
      <c r="GE104" s="200">
        <f t="shared" si="1095"/>
        <v>0</v>
      </c>
      <c r="GF104" s="201">
        <f t="shared" ca="1" si="1096"/>
        <v>0</v>
      </c>
      <c r="GG104" s="200">
        <f t="shared" si="1097"/>
        <v>0</v>
      </c>
      <c r="GH104" s="201" cm="1">
        <f t="array" ref="GH104">IF(LEFT($AG104,3)="Res",IF(OR($DU104&gt;External_Threshold,$DK104&gt;0),1*Uplift*AWE*(External),0),0)</f>
        <v>0</v>
      </c>
      <c r="GI104" s="200">
        <f t="shared" si="1098"/>
        <v>0</v>
      </c>
      <c r="GJ104" s="201">
        <f t="shared" si="1099"/>
        <v>0</v>
      </c>
      <c r="GK104" s="203">
        <f t="shared" si="1163"/>
        <v>0</v>
      </c>
      <c r="GL104" s="199">
        <f t="shared" ca="1" si="1100"/>
        <v>0</v>
      </c>
      <c r="GM104" s="200">
        <f t="shared" si="1101"/>
        <v>0</v>
      </c>
      <c r="GN104" s="201">
        <f t="shared" ca="1" si="1102"/>
        <v>0</v>
      </c>
      <c r="GO104" s="200">
        <f t="shared" si="1103"/>
        <v>0</v>
      </c>
      <c r="GP104" s="201" cm="1">
        <f t="array" ref="GP104">IF(LEFT($AG104,3)="Res",IF(OR($DV104&gt;External_Threshold,$DL104&gt;0),1*Uplift*AWE*(External),0),0)</f>
        <v>0</v>
      </c>
      <c r="GQ104" s="200">
        <f t="shared" si="1104"/>
        <v>0</v>
      </c>
      <c r="GR104" s="201">
        <f t="shared" si="1105"/>
        <v>0</v>
      </c>
      <c r="GS104" s="203">
        <f t="shared" si="1164"/>
        <v>0</v>
      </c>
      <c r="GT104" s="199">
        <f t="shared" ca="1" si="1106"/>
        <v>0</v>
      </c>
      <c r="GU104" s="200">
        <f t="shared" si="1107"/>
        <v>0</v>
      </c>
      <c r="GV104" s="201">
        <f t="shared" ca="1" si="1108"/>
        <v>0</v>
      </c>
      <c r="GW104" s="200">
        <f t="shared" si="1109"/>
        <v>0</v>
      </c>
      <c r="GX104" s="201" cm="1">
        <f t="array" ref="GX104">IF(LEFT($AG104,3)="Res",IF(OR($DW104&gt;External_Threshold,$DM104&gt;0),1*Uplift*AWE*(External),0),0)</f>
        <v>0</v>
      </c>
      <c r="GY104" s="200">
        <f t="shared" si="1110"/>
        <v>0</v>
      </c>
      <c r="GZ104" s="201">
        <f t="shared" si="1111"/>
        <v>0</v>
      </c>
      <c r="HA104" s="203">
        <f t="shared" si="1165"/>
        <v>0</v>
      </c>
      <c r="HB104" s="54"/>
      <c r="HC104" s="54"/>
      <c r="HD104" s="54"/>
      <c r="HE104" s="54"/>
      <c r="HF104" s="54"/>
      <c r="HG104" s="201">
        <f t="shared" ca="1" si="1166"/>
        <v>345157.70976436755</v>
      </c>
      <c r="HH104" s="201">
        <f t="shared" ca="1" si="1167"/>
        <v>22974.081041968162</v>
      </c>
      <c r="HI104" s="201">
        <f t="shared" ca="1" si="1168"/>
        <v>15481.186685962373</v>
      </c>
      <c r="HJ104" s="201">
        <f t="shared" ca="1" si="1169"/>
        <v>15481.186685962373</v>
      </c>
      <c r="HK104" s="201">
        <f t="shared" ca="1" si="1170"/>
        <v>15481.186685962373</v>
      </c>
      <c r="HL104" s="201">
        <f t="shared" ca="1" si="1171"/>
        <v>0</v>
      </c>
      <c r="HM104" s="201">
        <f t="shared" ca="1" si="1172"/>
        <v>0</v>
      </c>
      <c r="HN104" s="201">
        <f t="shared" ca="1" si="1173"/>
        <v>0</v>
      </c>
      <c r="HO104" s="201">
        <f t="shared" ca="1" si="1174"/>
        <v>0</v>
      </c>
      <c r="HP104" s="201">
        <f t="shared" ca="1" si="1175"/>
        <v>0</v>
      </c>
      <c r="HQ104" s="54"/>
    </row>
    <row r="105" spans="1:225" x14ac:dyDescent="0.3">
      <c r="A105" s="513">
        <v>87</v>
      </c>
      <c r="B105" s="514" t="s">
        <v>510</v>
      </c>
      <c r="C105" s="514" t="s">
        <v>390</v>
      </c>
      <c r="D105" s="514" t="s">
        <v>390</v>
      </c>
      <c r="E105" s="513">
        <v>1</v>
      </c>
      <c r="F105" s="515">
        <v>6.95</v>
      </c>
      <c r="G105" s="515">
        <v>5.89</v>
      </c>
      <c r="H105" s="513">
        <v>1</v>
      </c>
      <c r="I105" s="517">
        <v>1</v>
      </c>
      <c r="J105" s="518" t="s">
        <v>137</v>
      </c>
      <c r="K105" s="513">
        <f t="shared" si="1044"/>
        <v>160</v>
      </c>
      <c r="L105" s="519">
        <v>9.4545454545454533</v>
      </c>
      <c r="M105" s="519">
        <v>6.6499999999999995</v>
      </c>
      <c r="N105" s="519">
        <v>6.35</v>
      </c>
      <c r="O105" s="519">
        <v>6.05</v>
      </c>
      <c r="P105" s="519">
        <v>5.55</v>
      </c>
      <c r="Q105" s="519">
        <v>5.03</v>
      </c>
      <c r="R105" s="519">
        <v>4.2300000000000004</v>
      </c>
      <c r="S105" s="519">
        <v>0</v>
      </c>
      <c r="T105" s="519">
        <v>0</v>
      </c>
      <c r="U105" s="519">
        <v>0</v>
      </c>
      <c r="V105" s="536"/>
      <c r="W105" s="536"/>
      <c r="X105" s="536"/>
      <c r="Y105" s="536"/>
      <c r="Z105" s="536"/>
      <c r="AA105" s="536"/>
      <c r="AB105" s="536"/>
      <c r="AC105" s="536"/>
      <c r="AD105" s="536"/>
      <c r="AE105" s="536"/>
      <c r="AF105" s="54"/>
      <c r="AG105" s="204" t="str">
        <f t="shared" si="1253"/>
        <v>Res1</v>
      </c>
      <c r="AH105" s="204">
        <f t="shared" si="1112"/>
        <v>7</v>
      </c>
      <c r="AI105" s="204">
        <f t="shared" si="1045"/>
        <v>1</v>
      </c>
      <c r="AJ105" s="54"/>
      <c r="AK105" s="74">
        <f>IFERROR(IF(H105&gt;4,0,AI105*Inputs!$C$55),0)</f>
        <v>2.6</v>
      </c>
      <c r="AL105" s="81">
        <f>IFERROR(Inputs!$C$73,0)</f>
        <v>5</v>
      </c>
      <c r="AM105" s="211">
        <f>IFERROR(Inputs!$C$74,0)</f>
        <v>0.24299999999999999</v>
      </c>
      <c r="AN105" s="446">
        <f>IFERROR(HLOOKUP(HLOOKUP(AN$17,$V$18:$AE105,COUNTA($AK$18:$AK105),FALSE),Inputs!$B$58:$H$59,2,FALSE),0)</f>
        <v>0</v>
      </c>
      <c r="AO105" s="447">
        <f t="shared" si="1113"/>
        <v>0</v>
      </c>
      <c r="AP105" s="447">
        <f t="shared" si="1114"/>
        <v>0</v>
      </c>
      <c r="AQ105" s="446">
        <f>IFERROR(HLOOKUP(HLOOKUP(AQ$17,$V$18:$AE105,COUNTA($AK$18:$AK105),FALSE),Inputs!$B$58:$H$59,2,FALSE),0)</f>
        <v>0</v>
      </c>
      <c r="AR105" s="447">
        <f t="shared" ref="AR105" si="1362">2*$AK105*AQ105*$AL105/100*$AM105</f>
        <v>0</v>
      </c>
      <c r="AS105" s="447">
        <f t="shared" si="1116"/>
        <v>0</v>
      </c>
      <c r="AT105" s="446">
        <f>IFERROR(HLOOKUP(HLOOKUP(AT$17,$V$18:$AE105,COUNTA($AK$18:$AK105),FALSE),Inputs!$B$58:$H$59,2,FALSE),0)</f>
        <v>0</v>
      </c>
      <c r="AU105" s="447">
        <f t="shared" ref="AU105" si="1363">2*$AK105*AT105*$AL105/100*$AM105</f>
        <v>0</v>
      </c>
      <c r="AV105" s="447">
        <f t="shared" si="1118"/>
        <v>0</v>
      </c>
      <c r="AW105" s="446">
        <f>IFERROR(HLOOKUP(HLOOKUP(AW$17,$V$18:$AE105,COUNTA($AK$18:$AK105),FALSE),Inputs!$B$58:$H$59,2,FALSE),0)</f>
        <v>0</v>
      </c>
      <c r="AX105" s="447">
        <f t="shared" ref="AX105" si="1364">2*$AK105*AW105*$AL105/100*$AM105</f>
        <v>0</v>
      </c>
      <c r="AY105" s="447">
        <f t="shared" si="1120"/>
        <v>0</v>
      </c>
      <c r="AZ105" s="446">
        <f>IFERROR(HLOOKUP(HLOOKUP(AZ$17,$V$18:$AE105,COUNTA($AK$18:$AK105),FALSE),Inputs!$B$58:$H$59,2,FALSE),0)</f>
        <v>0</v>
      </c>
      <c r="BA105" s="447">
        <f t="shared" ref="BA105" si="1365">2*$AK105*AZ105*$AL105/100*$AM105</f>
        <v>0</v>
      </c>
      <c r="BB105" s="447">
        <f t="shared" si="1122"/>
        <v>0</v>
      </c>
      <c r="BC105" s="446">
        <f>IFERROR(HLOOKUP(HLOOKUP(BC$17,$V$18:$AE105,COUNTA($AK$18:$AK105),FALSE),Inputs!$B$58:$H$59,2,FALSE),0)</f>
        <v>0</v>
      </c>
      <c r="BD105" s="447">
        <f t="shared" ref="BD105" si="1366">2*$AK105*BC105*$AL105/100*$AM105</f>
        <v>0</v>
      </c>
      <c r="BE105" s="447">
        <f t="shared" si="1124"/>
        <v>0</v>
      </c>
      <c r="BF105" s="446">
        <f>IFERROR(HLOOKUP(HLOOKUP(BF$17,$V$18:$AE105,COUNTA($AK$18:$AK105),FALSE),Inputs!$B$58:$H$59,2,FALSE),0)</f>
        <v>0</v>
      </c>
      <c r="BG105" s="447">
        <f t="shared" ref="BG105" si="1367">2*$AK105*BF105*$AL105/100*$AM105</f>
        <v>0</v>
      </c>
      <c r="BH105" s="447">
        <f t="shared" si="1126"/>
        <v>0</v>
      </c>
      <c r="BI105" s="446">
        <f>IFERROR(HLOOKUP(HLOOKUP(BI$17,$V$18:$AE105,COUNTA($AK$18:$AK105),FALSE),Inputs!$B$58:$H$59,2,FALSE),0)</f>
        <v>0</v>
      </c>
      <c r="BJ105" s="447">
        <f t="shared" ref="BJ105" si="1368">2*$AK105*BI105*$AL105/100*$AM105</f>
        <v>0</v>
      </c>
      <c r="BK105" s="447">
        <f t="shared" si="1128"/>
        <v>0</v>
      </c>
      <c r="BL105" s="446">
        <f>IFERROR(HLOOKUP(HLOOKUP(BL$17,$V$18:$AE105,COUNTA($AK$18:$AK105),FALSE),Inputs!$B$58:$H$59,2,FALSE),0)</f>
        <v>0</v>
      </c>
      <c r="BM105" s="447">
        <f t="shared" ref="BM105" si="1369">2*$AK105*BL105*$AL105/100*$AM105</f>
        <v>0</v>
      </c>
      <c r="BN105" s="447">
        <f t="shared" si="1130"/>
        <v>0</v>
      </c>
      <c r="BO105" s="446">
        <f>IFERROR(HLOOKUP(HLOOKUP(BO$17,$V$18:$AE105,COUNTA($AK$18:$AK105),FALSE),Inputs!$B$58:$H$59,2,FALSE),0)</f>
        <v>0</v>
      </c>
      <c r="BP105" s="447">
        <f t="shared" ref="BP105" si="1370">2*$AK105*BO105*$AL105/100*$AM105</f>
        <v>0</v>
      </c>
      <c r="BQ105" s="447">
        <f t="shared" si="1132"/>
        <v>0</v>
      </c>
      <c r="BR105" s="54"/>
      <c r="BS105" s="103">
        <f t="shared" ca="1" si="1203"/>
        <v>170.85360151350702</v>
      </c>
      <c r="BT105" s="103">
        <f t="shared" ca="1" si="1204"/>
        <v>119.14574893142344</v>
      </c>
      <c r="BU105" s="103">
        <f t="shared" si="1205"/>
        <v>115.95408827785818</v>
      </c>
      <c r="BV105" s="103">
        <f t="shared" si="1206"/>
        <v>0</v>
      </c>
      <c r="BW105" s="152">
        <f t="shared" ca="1" si="1207"/>
        <v>405.95343872278863</v>
      </c>
      <c r="BX105" s="441"/>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188">
        <f t="shared" si="1133"/>
        <v>2.5045454545454531</v>
      </c>
      <c r="DE105" s="188">
        <f t="shared" si="1134"/>
        <v>-0.3</v>
      </c>
      <c r="DF105" s="188">
        <f t="shared" si="1135"/>
        <v>-0.3</v>
      </c>
      <c r="DG105" s="188">
        <f t="shared" si="1136"/>
        <v>-0.3</v>
      </c>
      <c r="DH105" s="188">
        <f t="shared" si="1137"/>
        <v>-0.3</v>
      </c>
      <c r="DI105" s="188">
        <f t="shared" si="1138"/>
        <v>-0.3</v>
      </c>
      <c r="DJ105" s="188">
        <f t="shared" si="1139"/>
        <v>-0.3</v>
      </c>
      <c r="DK105" s="188">
        <f t="shared" si="1140"/>
        <v>-0.3</v>
      </c>
      <c r="DL105" s="188">
        <f t="shared" si="1141"/>
        <v>-0.3</v>
      </c>
      <c r="DM105" s="188">
        <f t="shared" si="1142"/>
        <v>-0.3</v>
      </c>
      <c r="DN105" s="189">
        <f t="shared" si="1143"/>
        <v>3.5645454545454536</v>
      </c>
      <c r="DO105" s="189">
        <f t="shared" si="1144"/>
        <v>0.75999999999999979</v>
      </c>
      <c r="DP105" s="189">
        <f t="shared" si="1145"/>
        <v>0.45999999999999996</v>
      </c>
      <c r="DQ105" s="189">
        <f t="shared" si="1146"/>
        <v>0.16000000000000014</v>
      </c>
      <c r="DR105" s="189">
        <f t="shared" si="1147"/>
        <v>0</v>
      </c>
      <c r="DS105" s="189">
        <f t="shared" si="1148"/>
        <v>0</v>
      </c>
      <c r="DT105" s="189">
        <f t="shared" si="1149"/>
        <v>0</v>
      </c>
      <c r="DU105" s="189">
        <f t="shared" si="1150"/>
        <v>0</v>
      </c>
      <c r="DV105" s="189">
        <f t="shared" si="1151"/>
        <v>0</v>
      </c>
      <c r="DW105" s="189">
        <f t="shared" si="1152"/>
        <v>0</v>
      </c>
      <c r="DX105" s="54"/>
      <c r="DY105" s="54"/>
      <c r="DZ105" s="199">
        <f t="shared" ca="1" si="1055"/>
        <v>171712.16232513267</v>
      </c>
      <c r="EA105" s="200">
        <f t="shared" si="1153"/>
        <v>1</v>
      </c>
      <c r="EB105" s="201">
        <f t="shared" ca="1" si="1056"/>
        <v>119744.47128786275</v>
      </c>
      <c r="EC105" s="200">
        <f t="shared" si="1154"/>
        <v>1</v>
      </c>
      <c r="ED105" s="201" cm="1">
        <f t="array" ref="ED105">IF(LEFT($AG105,3)="Res",IF(OR($DN105&gt;External_Threshold,$DD105&gt;0),1*Uplift*AWE*(External),0),0)</f>
        <v>15481.186685962373</v>
      </c>
      <c r="EE105" s="200">
        <f t="shared" si="1155"/>
        <v>1</v>
      </c>
      <c r="EF105" s="201">
        <f t="shared" si="1057"/>
        <v>0</v>
      </c>
      <c r="EG105" s="203">
        <f t="shared" si="1156"/>
        <v>0</v>
      </c>
      <c r="EH105" s="199">
        <f t="shared" ca="1" si="1058"/>
        <v>0</v>
      </c>
      <c r="EI105" s="200">
        <f t="shared" si="1059"/>
        <v>0</v>
      </c>
      <c r="EJ105" s="201">
        <f t="shared" ca="1" si="1060"/>
        <v>0</v>
      </c>
      <c r="EK105" s="200">
        <f t="shared" si="1061"/>
        <v>0</v>
      </c>
      <c r="EL105" s="201" cm="1">
        <f t="array" ref="EL105">IF(LEFT($AG105,3)="Res",IF(OR($DO105&gt;External_Threshold,$DE105&gt;0),1*Uplift*AWE*(External),0),0)</f>
        <v>15481.186685962373</v>
      </c>
      <c r="EM105" s="200">
        <f t="shared" si="1062"/>
        <v>1</v>
      </c>
      <c r="EN105" s="201">
        <f t="shared" si="1063"/>
        <v>0</v>
      </c>
      <c r="EO105" s="203">
        <f t="shared" si="1157"/>
        <v>0</v>
      </c>
      <c r="EP105" s="199">
        <f t="shared" ca="1" si="1064"/>
        <v>0</v>
      </c>
      <c r="EQ105" s="200">
        <f t="shared" si="1065"/>
        <v>0</v>
      </c>
      <c r="ER105" s="201">
        <f t="shared" ca="1" si="1066"/>
        <v>0</v>
      </c>
      <c r="ES105" s="200">
        <f t="shared" si="1067"/>
        <v>0</v>
      </c>
      <c r="ET105" s="201" cm="1">
        <f t="array" ref="ET105">IF(LEFT($AG105,3)="Res",IF(OR($DP105&gt;External_Threshold,$DF105&gt;0),1*Uplift*AWE*(External),0),0)</f>
        <v>15481.186685962373</v>
      </c>
      <c r="EU105" s="200">
        <f t="shared" si="1068"/>
        <v>1</v>
      </c>
      <c r="EV105" s="201">
        <f t="shared" si="1069"/>
        <v>0</v>
      </c>
      <c r="EW105" s="203">
        <f t="shared" si="1158"/>
        <v>0</v>
      </c>
      <c r="EX105" s="199">
        <f t="shared" ca="1" si="1070"/>
        <v>0</v>
      </c>
      <c r="EY105" s="200">
        <f t="shared" si="1071"/>
        <v>0</v>
      </c>
      <c r="EZ105" s="201">
        <f t="shared" ca="1" si="1072"/>
        <v>0</v>
      </c>
      <c r="FA105" s="200">
        <f t="shared" si="1073"/>
        <v>0</v>
      </c>
      <c r="FB105" s="201" cm="1">
        <f t="array" ref="FB105">IF(LEFT($AG105,3)="Res",IF(OR($DQ105&gt;External_Threshold,$DG105&gt;0),1*Uplift*AWE*(External),0),0)</f>
        <v>0</v>
      </c>
      <c r="FC105" s="200">
        <f t="shared" si="1074"/>
        <v>1</v>
      </c>
      <c r="FD105" s="201">
        <f t="shared" si="1075"/>
        <v>0</v>
      </c>
      <c r="FE105" s="203">
        <f t="shared" si="1159"/>
        <v>0</v>
      </c>
      <c r="FF105" s="199">
        <f t="shared" ca="1" si="1076"/>
        <v>0</v>
      </c>
      <c r="FG105" s="200">
        <f t="shared" si="1077"/>
        <v>0</v>
      </c>
      <c r="FH105" s="201">
        <f t="shared" ca="1" si="1078"/>
        <v>0</v>
      </c>
      <c r="FI105" s="200">
        <f t="shared" si="1079"/>
        <v>0</v>
      </c>
      <c r="FJ105" s="201" cm="1">
        <f t="array" ref="FJ105">IF(LEFT($AG105,3)="Res",IF(OR($DR105&gt;External_Threshold,$DH105&gt;0),1*Uplift*AWE*(External),0),0)</f>
        <v>0</v>
      </c>
      <c r="FK105" s="200">
        <f t="shared" si="1080"/>
        <v>0</v>
      </c>
      <c r="FL105" s="201">
        <f t="shared" si="1081"/>
        <v>0</v>
      </c>
      <c r="FM105" s="203">
        <f t="shared" si="1160"/>
        <v>0</v>
      </c>
      <c r="FN105" s="199">
        <f t="shared" ca="1" si="1082"/>
        <v>0</v>
      </c>
      <c r="FO105" s="200">
        <f t="shared" si="1083"/>
        <v>0</v>
      </c>
      <c r="FP105" s="201">
        <f t="shared" ca="1" si="1084"/>
        <v>0</v>
      </c>
      <c r="FQ105" s="200">
        <f t="shared" si="1085"/>
        <v>0</v>
      </c>
      <c r="FR105" s="201" cm="1">
        <f t="array" ref="FR105">IF(LEFT($AG105,3)="Res",IF(OR($DS105&gt;External_Threshold,$DI105&gt;0),1*Uplift*AWE*(External),0),0)</f>
        <v>0</v>
      </c>
      <c r="FS105" s="200">
        <f t="shared" si="1086"/>
        <v>0</v>
      </c>
      <c r="FT105" s="201">
        <f t="shared" si="1087"/>
        <v>0</v>
      </c>
      <c r="FU105" s="203">
        <f t="shared" si="1161"/>
        <v>0</v>
      </c>
      <c r="FV105" s="199">
        <f t="shared" ca="1" si="1088"/>
        <v>0</v>
      </c>
      <c r="FW105" s="200">
        <f t="shared" si="1089"/>
        <v>0</v>
      </c>
      <c r="FX105" s="201">
        <f t="shared" ca="1" si="1090"/>
        <v>0</v>
      </c>
      <c r="FY105" s="200">
        <f t="shared" si="1091"/>
        <v>0</v>
      </c>
      <c r="FZ105" s="201" cm="1">
        <f t="array" ref="FZ105">IF(LEFT($AG105,3)="Res",IF(OR($DT105&gt;External_Threshold,$DJ105&gt;0),1*Uplift*AWE*(External),0),0)</f>
        <v>0</v>
      </c>
      <c r="GA105" s="200">
        <f t="shared" si="1092"/>
        <v>0</v>
      </c>
      <c r="GB105" s="201">
        <f t="shared" si="1093"/>
        <v>0</v>
      </c>
      <c r="GC105" s="203">
        <f t="shared" si="1162"/>
        <v>0</v>
      </c>
      <c r="GD105" s="199">
        <f t="shared" ca="1" si="1094"/>
        <v>0</v>
      </c>
      <c r="GE105" s="200">
        <f t="shared" si="1095"/>
        <v>0</v>
      </c>
      <c r="GF105" s="201">
        <f t="shared" ca="1" si="1096"/>
        <v>0</v>
      </c>
      <c r="GG105" s="200">
        <f t="shared" si="1097"/>
        <v>0</v>
      </c>
      <c r="GH105" s="201" cm="1">
        <f t="array" ref="GH105">IF(LEFT($AG105,3)="Res",IF(OR($DU105&gt;External_Threshold,$DK105&gt;0),1*Uplift*AWE*(External),0),0)</f>
        <v>0</v>
      </c>
      <c r="GI105" s="200">
        <f t="shared" si="1098"/>
        <v>0</v>
      </c>
      <c r="GJ105" s="201">
        <f t="shared" si="1099"/>
        <v>0</v>
      </c>
      <c r="GK105" s="203">
        <f t="shared" si="1163"/>
        <v>0</v>
      </c>
      <c r="GL105" s="199">
        <f t="shared" ca="1" si="1100"/>
        <v>0</v>
      </c>
      <c r="GM105" s="200">
        <f t="shared" si="1101"/>
        <v>0</v>
      </c>
      <c r="GN105" s="201">
        <f t="shared" ca="1" si="1102"/>
        <v>0</v>
      </c>
      <c r="GO105" s="200">
        <f t="shared" si="1103"/>
        <v>0</v>
      </c>
      <c r="GP105" s="201" cm="1">
        <f t="array" ref="GP105">IF(LEFT($AG105,3)="Res",IF(OR($DV105&gt;External_Threshold,$DL105&gt;0),1*Uplift*AWE*(External),0),0)</f>
        <v>0</v>
      </c>
      <c r="GQ105" s="200">
        <f t="shared" si="1104"/>
        <v>0</v>
      </c>
      <c r="GR105" s="201">
        <f t="shared" si="1105"/>
        <v>0</v>
      </c>
      <c r="GS105" s="203">
        <f t="shared" si="1164"/>
        <v>0</v>
      </c>
      <c r="GT105" s="199">
        <f t="shared" ca="1" si="1106"/>
        <v>0</v>
      </c>
      <c r="GU105" s="200">
        <f t="shared" si="1107"/>
        <v>0</v>
      </c>
      <c r="GV105" s="201">
        <f t="shared" ca="1" si="1108"/>
        <v>0</v>
      </c>
      <c r="GW105" s="200">
        <f t="shared" si="1109"/>
        <v>0</v>
      </c>
      <c r="GX105" s="201" cm="1">
        <f t="array" ref="GX105">IF(LEFT($AG105,3)="Res",IF(OR($DW105&gt;External_Threshold,$DM105&gt;0),1*Uplift*AWE*(External),0),0)</f>
        <v>0</v>
      </c>
      <c r="GY105" s="200">
        <f t="shared" si="1110"/>
        <v>0</v>
      </c>
      <c r="GZ105" s="201">
        <f t="shared" si="1111"/>
        <v>0</v>
      </c>
      <c r="HA105" s="203">
        <f t="shared" si="1165"/>
        <v>0</v>
      </c>
      <c r="HB105" s="54"/>
      <c r="HC105" s="54"/>
      <c r="HD105" s="54"/>
      <c r="HE105" s="54"/>
      <c r="HF105" s="54"/>
      <c r="HG105" s="201">
        <f t="shared" ca="1" si="1166"/>
        <v>306937.82029895775</v>
      </c>
      <c r="HH105" s="201">
        <f t="shared" ca="1" si="1167"/>
        <v>15481.186685962373</v>
      </c>
      <c r="HI105" s="201">
        <f t="shared" ca="1" si="1168"/>
        <v>15481.186685962373</v>
      </c>
      <c r="HJ105" s="201">
        <f t="shared" ca="1" si="1169"/>
        <v>0</v>
      </c>
      <c r="HK105" s="201">
        <f t="shared" ca="1" si="1170"/>
        <v>0</v>
      </c>
      <c r="HL105" s="201">
        <f t="shared" ca="1" si="1171"/>
        <v>0</v>
      </c>
      <c r="HM105" s="201">
        <f t="shared" ca="1" si="1172"/>
        <v>0</v>
      </c>
      <c r="HN105" s="201">
        <f t="shared" ca="1" si="1173"/>
        <v>0</v>
      </c>
      <c r="HO105" s="201">
        <f t="shared" ca="1" si="1174"/>
        <v>0</v>
      </c>
      <c r="HP105" s="201">
        <f t="shared" ca="1" si="1175"/>
        <v>0</v>
      </c>
      <c r="HQ105" s="54"/>
    </row>
    <row r="106" spans="1:225" x14ac:dyDescent="0.3">
      <c r="A106" s="513">
        <v>88</v>
      </c>
      <c r="B106" s="514" t="s">
        <v>511</v>
      </c>
      <c r="C106" s="514" t="s">
        <v>390</v>
      </c>
      <c r="D106" s="514" t="s">
        <v>390</v>
      </c>
      <c r="E106" s="513">
        <v>1</v>
      </c>
      <c r="F106" s="515">
        <v>6.17</v>
      </c>
      <c r="G106" s="515">
        <v>4.91</v>
      </c>
      <c r="H106" s="513">
        <v>1</v>
      </c>
      <c r="I106" s="517">
        <v>1</v>
      </c>
      <c r="J106" s="518" t="s">
        <v>42</v>
      </c>
      <c r="K106" s="513">
        <f t="shared" si="1044"/>
        <v>90</v>
      </c>
      <c r="L106" s="519">
        <v>9.4545454545454533</v>
      </c>
      <c r="M106" s="519">
        <v>6.6499999999999995</v>
      </c>
      <c r="N106" s="519">
        <v>6.35</v>
      </c>
      <c r="O106" s="519">
        <v>6.05</v>
      </c>
      <c r="P106" s="519">
        <v>5.55</v>
      </c>
      <c r="Q106" s="519">
        <v>5.03</v>
      </c>
      <c r="R106" s="519">
        <v>4.2300000000000004</v>
      </c>
      <c r="S106" s="519">
        <v>0</v>
      </c>
      <c r="T106" s="519">
        <v>0</v>
      </c>
      <c r="U106" s="519">
        <v>0</v>
      </c>
      <c r="V106" s="536"/>
      <c r="W106" s="536"/>
      <c r="X106" s="536"/>
      <c r="Y106" s="536"/>
      <c r="Z106" s="536"/>
      <c r="AA106" s="536"/>
      <c r="AB106" s="536"/>
      <c r="AC106" s="536"/>
      <c r="AD106" s="536"/>
      <c r="AE106" s="536"/>
      <c r="AF106" s="54"/>
      <c r="AG106" s="204" t="str">
        <f t="shared" si="1253"/>
        <v>Res1</v>
      </c>
      <c r="AH106" s="204">
        <f t="shared" si="1112"/>
        <v>4</v>
      </c>
      <c r="AI106" s="204">
        <f t="shared" si="1045"/>
        <v>1</v>
      </c>
      <c r="AJ106" s="54"/>
      <c r="AK106" s="74">
        <f>IFERROR(IF(H106&gt;4,0,AI106*Inputs!$C$55),0)</f>
        <v>2.6</v>
      </c>
      <c r="AL106" s="81">
        <f>IFERROR(Inputs!$C$73,0)</f>
        <v>5</v>
      </c>
      <c r="AM106" s="211">
        <f>IFERROR(Inputs!$C$74,0)</f>
        <v>0.24299999999999999</v>
      </c>
      <c r="AN106" s="446">
        <f>IFERROR(HLOOKUP(HLOOKUP(AN$17,$V$18:$AE106,COUNTA($AK$18:$AK106),FALSE),Inputs!$B$58:$H$59,2,FALSE),0)</f>
        <v>0</v>
      </c>
      <c r="AO106" s="447">
        <f t="shared" si="1113"/>
        <v>0</v>
      </c>
      <c r="AP106" s="447">
        <f t="shared" si="1114"/>
        <v>0</v>
      </c>
      <c r="AQ106" s="446">
        <f>IFERROR(HLOOKUP(HLOOKUP(AQ$17,$V$18:$AE106,COUNTA($AK$18:$AK106),FALSE),Inputs!$B$58:$H$59,2,FALSE),0)</f>
        <v>0</v>
      </c>
      <c r="AR106" s="447">
        <f t="shared" ref="AR106" si="1371">2*$AK106*AQ106*$AL106/100*$AM106</f>
        <v>0</v>
      </c>
      <c r="AS106" s="447">
        <f t="shared" si="1116"/>
        <v>0</v>
      </c>
      <c r="AT106" s="446">
        <f>IFERROR(HLOOKUP(HLOOKUP(AT$17,$V$18:$AE106,COUNTA($AK$18:$AK106),FALSE),Inputs!$B$58:$H$59,2,FALSE),0)</f>
        <v>0</v>
      </c>
      <c r="AU106" s="447">
        <f t="shared" ref="AU106" si="1372">2*$AK106*AT106*$AL106/100*$AM106</f>
        <v>0</v>
      </c>
      <c r="AV106" s="447">
        <f t="shared" si="1118"/>
        <v>0</v>
      </c>
      <c r="AW106" s="446">
        <f>IFERROR(HLOOKUP(HLOOKUP(AW$17,$V$18:$AE106,COUNTA($AK$18:$AK106),FALSE),Inputs!$B$58:$H$59,2,FALSE),0)</f>
        <v>0</v>
      </c>
      <c r="AX106" s="447">
        <f t="shared" ref="AX106" si="1373">2*$AK106*AW106*$AL106/100*$AM106</f>
        <v>0</v>
      </c>
      <c r="AY106" s="447">
        <f t="shared" si="1120"/>
        <v>0</v>
      </c>
      <c r="AZ106" s="446">
        <f>IFERROR(HLOOKUP(HLOOKUP(AZ$17,$V$18:$AE106,COUNTA($AK$18:$AK106),FALSE),Inputs!$B$58:$H$59,2,FALSE),0)</f>
        <v>0</v>
      </c>
      <c r="BA106" s="447">
        <f t="shared" ref="BA106" si="1374">2*$AK106*AZ106*$AL106/100*$AM106</f>
        <v>0</v>
      </c>
      <c r="BB106" s="447">
        <f t="shared" si="1122"/>
        <v>0</v>
      </c>
      <c r="BC106" s="446">
        <f>IFERROR(HLOOKUP(HLOOKUP(BC$17,$V$18:$AE106,COUNTA($AK$18:$AK106),FALSE),Inputs!$B$58:$H$59,2,FALSE),0)</f>
        <v>0</v>
      </c>
      <c r="BD106" s="447">
        <f t="shared" ref="BD106" si="1375">2*$AK106*BC106*$AL106/100*$AM106</f>
        <v>0</v>
      </c>
      <c r="BE106" s="447">
        <f t="shared" si="1124"/>
        <v>0</v>
      </c>
      <c r="BF106" s="446">
        <f>IFERROR(HLOOKUP(HLOOKUP(BF$17,$V$18:$AE106,COUNTA($AK$18:$AK106),FALSE),Inputs!$B$58:$H$59,2,FALSE),0)</f>
        <v>0</v>
      </c>
      <c r="BG106" s="447">
        <f t="shared" ref="BG106" si="1376">2*$AK106*BF106*$AL106/100*$AM106</f>
        <v>0</v>
      </c>
      <c r="BH106" s="447">
        <f t="shared" si="1126"/>
        <v>0</v>
      </c>
      <c r="BI106" s="446">
        <f>IFERROR(HLOOKUP(HLOOKUP(BI$17,$V$18:$AE106,COUNTA($AK$18:$AK106),FALSE),Inputs!$B$58:$H$59,2,FALSE),0)</f>
        <v>0</v>
      </c>
      <c r="BJ106" s="447">
        <f t="shared" ref="BJ106" si="1377">2*$AK106*BI106*$AL106/100*$AM106</f>
        <v>0</v>
      </c>
      <c r="BK106" s="447">
        <f t="shared" si="1128"/>
        <v>0</v>
      </c>
      <c r="BL106" s="446">
        <f>IFERROR(HLOOKUP(HLOOKUP(BL$17,$V$18:$AE106,COUNTA($AK$18:$AK106),FALSE),Inputs!$B$58:$H$59,2,FALSE),0)</f>
        <v>0</v>
      </c>
      <c r="BM106" s="447">
        <f t="shared" ref="BM106" si="1378">2*$AK106*BL106*$AL106/100*$AM106</f>
        <v>0</v>
      </c>
      <c r="BN106" s="447">
        <f t="shared" si="1130"/>
        <v>0</v>
      </c>
      <c r="BO106" s="446">
        <f>IFERROR(HLOOKUP(HLOOKUP(BO$17,$V$18:$AE106,COUNTA($AK$18:$AK106),FALSE),Inputs!$B$58:$H$59,2,FALSE),0)</f>
        <v>0</v>
      </c>
      <c r="BP106" s="447">
        <f t="shared" ref="BP106" si="1379">2*$AK106*BO106*$AL106/100*$AM106</f>
        <v>0</v>
      </c>
      <c r="BQ106" s="447">
        <f t="shared" si="1132"/>
        <v>0</v>
      </c>
      <c r="BR106" s="54"/>
      <c r="BS106" s="103">
        <f t="shared" ca="1" si="1203"/>
        <v>350.29195967800297</v>
      </c>
      <c r="BT106" s="103">
        <f t="shared" ca="1" si="1204"/>
        <v>241.50772478334756</v>
      </c>
      <c r="BU106" s="103">
        <f t="shared" si="1205"/>
        <v>541.68672214182345</v>
      </c>
      <c r="BV106" s="103">
        <f t="shared" si="1206"/>
        <v>0</v>
      </c>
      <c r="BW106" s="152">
        <f t="shared" ca="1" si="1207"/>
        <v>1133.4864066031741</v>
      </c>
      <c r="BX106" s="441"/>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188">
        <f t="shared" si="1133"/>
        <v>3.2845454545454533</v>
      </c>
      <c r="DE106" s="188">
        <f t="shared" si="1134"/>
        <v>0.47999999999999954</v>
      </c>
      <c r="DF106" s="188">
        <f t="shared" si="1135"/>
        <v>0.17999999999999972</v>
      </c>
      <c r="DG106" s="188">
        <f t="shared" si="1136"/>
        <v>-0.12000000000000011</v>
      </c>
      <c r="DH106" s="188">
        <f t="shared" si="1137"/>
        <v>-0.3</v>
      </c>
      <c r="DI106" s="188">
        <f t="shared" si="1138"/>
        <v>-0.3</v>
      </c>
      <c r="DJ106" s="188">
        <f t="shared" si="1139"/>
        <v>-0.3</v>
      </c>
      <c r="DK106" s="188">
        <f t="shared" si="1140"/>
        <v>-0.3</v>
      </c>
      <c r="DL106" s="188">
        <f t="shared" si="1141"/>
        <v>-0.3</v>
      </c>
      <c r="DM106" s="188">
        <f t="shared" si="1142"/>
        <v>-0.3</v>
      </c>
      <c r="DN106" s="189">
        <f t="shared" si="1143"/>
        <v>4.5445454545454531</v>
      </c>
      <c r="DO106" s="189">
        <f t="shared" si="1144"/>
        <v>1.7399999999999993</v>
      </c>
      <c r="DP106" s="189">
        <f t="shared" si="1145"/>
        <v>1.4399999999999995</v>
      </c>
      <c r="DQ106" s="189">
        <f t="shared" si="1146"/>
        <v>1.1399999999999997</v>
      </c>
      <c r="DR106" s="189">
        <f t="shared" si="1147"/>
        <v>0.63999999999999968</v>
      </c>
      <c r="DS106" s="189">
        <f t="shared" si="1148"/>
        <v>0.12000000000000011</v>
      </c>
      <c r="DT106" s="189">
        <f t="shared" si="1149"/>
        <v>0</v>
      </c>
      <c r="DU106" s="189">
        <f t="shared" si="1150"/>
        <v>0</v>
      </c>
      <c r="DV106" s="189">
        <f t="shared" si="1151"/>
        <v>0</v>
      </c>
      <c r="DW106" s="189">
        <f t="shared" si="1152"/>
        <v>0</v>
      </c>
      <c r="DX106" s="54"/>
      <c r="DY106" s="54"/>
      <c r="DZ106" s="199">
        <f t="shared" ca="1" si="1055"/>
        <v>78505.097684515204</v>
      </c>
      <c r="EA106" s="200">
        <f t="shared" si="1153"/>
        <v>1</v>
      </c>
      <c r="EB106" s="201">
        <f t="shared" ca="1" si="1056"/>
        <v>58677.283708671122</v>
      </c>
      <c r="EC106" s="200">
        <f t="shared" si="1154"/>
        <v>1</v>
      </c>
      <c r="ED106" s="201" cm="1">
        <f t="array" ref="ED106">IF(LEFT($AG106,3)="Res",IF(OR($DN106&gt;External_Threshold,$DD106&gt;0),1*Uplift*AWE*(External),0),0)</f>
        <v>15481.186685962373</v>
      </c>
      <c r="EE106" s="200">
        <f t="shared" si="1155"/>
        <v>1</v>
      </c>
      <c r="EF106" s="201">
        <f t="shared" si="1057"/>
        <v>0</v>
      </c>
      <c r="EG106" s="203">
        <f t="shared" si="1156"/>
        <v>0</v>
      </c>
      <c r="EH106" s="199">
        <f t="shared" ca="1" si="1058"/>
        <v>40870.332850940664</v>
      </c>
      <c r="EI106" s="200">
        <f t="shared" si="1059"/>
        <v>1</v>
      </c>
      <c r="EJ106" s="201">
        <f t="shared" ca="1" si="1060"/>
        <v>35624.840411637095</v>
      </c>
      <c r="EK106" s="200">
        <f t="shared" si="1061"/>
        <v>1</v>
      </c>
      <c r="EL106" s="201" cm="1">
        <f t="array" ref="EL106">IF(LEFT($AG106,3)="Res",IF(OR($DO106&gt;External_Threshold,$DE106&gt;0),1*Uplift*AWE*(External),0),0)</f>
        <v>15481.186685962373</v>
      </c>
      <c r="EM106" s="200">
        <f t="shared" si="1062"/>
        <v>1</v>
      </c>
      <c r="EN106" s="201">
        <f t="shared" si="1063"/>
        <v>0</v>
      </c>
      <c r="EO106" s="203">
        <f t="shared" si="1157"/>
        <v>0</v>
      </c>
      <c r="EP106" s="199">
        <f t="shared" ca="1" si="1064"/>
        <v>39039.682525325617</v>
      </c>
      <c r="EQ106" s="200">
        <f t="shared" si="1065"/>
        <v>1</v>
      </c>
      <c r="ER106" s="201">
        <f t="shared" ca="1" si="1066"/>
        <v>23559.962666546307</v>
      </c>
      <c r="ES106" s="200">
        <f t="shared" si="1067"/>
        <v>1</v>
      </c>
      <c r="ET106" s="201" cm="1">
        <f t="array" ref="ET106">IF(LEFT($AG106,3)="Res",IF(OR($DP106&gt;External_Threshold,$DF106&gt;0),1*Uplift*AWE*(External),0),0)</f>
        <v>15481.186685962373</v>
      </c>
      <c r="EU106" s="200">
        <f t="shared" si="1068"/>
        <v>1</v>
      </c>
      <c r="EV106" s="201">
        <f t="shared" si="1069"/>
        <v>0</v>
      </c>
      <c r="EW106" s="203">
        <f t="shared" si="1158"/>
        <v>0</v>
      </c>
      <c r="EX106" s="199">
        <f t="shared" ca="1" si="1070"/>
        <v>1873.223589001447</v>
      </c>
      <c r="EY106" s="200">
        <f t="shared" si="1071"/>
        <v>0</v>
      </c>
      <c r="EZ106" s="201">
        <f t="shared" ca="1" si="1072"/>
        <v>0</v>
      </c>
      <c r="FA106" s="200">
        <f t="shared" si="1073"/>
        <v>0</v>
      </c>
      <c r="FB106" s="201" cm="1">
        <f t="array" ref="FB106">IF(LEFT($AG106,3)="Res",IF(OR($DQ106&gt;External_Threshold,$DG106&gt;0),1*Uplift*AWE*(External),0),0)</f>
        <v>15481.186685962373</v>
      </c>
      <c r="FC106" s="200">
        <f t="shared" si="1074"/>
        <v>1</v>
      </c>
      <c r="FD106" s="201">
        <f t="shared" si="1075"/>
        <v>0</v>
      </c>
      <c r="FE106" s="203">
        <f t="shared" si="1159"/>
        <v>0</v>
      </c>
      <c r="FF106" s="199">
        <f t="shared" ca="1" si="1076"/>
        <v>0</v>
      </c>
      <c r="FG106" s="200">
        <f t="shared" si="1077"/>
        <v>0</v>
      </c>
      <c r="FH106" s="201">
        <f t="shared" ca="1" si="1078"/>
        <v>0</v>
      </c>
      <c r="FI106" s="200">
        <f t="shared" si="1079"/>
        <v>0</v>
      </c>
      <c r="FJ106" s="201" cm="1">
        <f t="array" ref="FJ106">IF(LEFT($AG106,3)="Res",IF(OR($DR106&gt;External_Threshold,$DH106&gt;0),1*Uplift*AWE*(External),0),0)</f>
        <v>15481.186685962373</v>
      </c>
      <c r="FK106" s="200">
        <f t="shared" si="1080"/>
        <v>1</v>
      </c>
      <c r="FL106" s="201">
        <f t="shared" si="1081"/>
        <v>0</v>
      </c>
      <c r="FM106" s="203">
        <f t="shared" si="1160"/>
        <v>0</v>
      </c>
      <c r="FN106" s="199">
        <f t="shared" ca="1" si="1082"/>
        <v>0</v>
      </c>
      <c r="FO106" s="200">
        <f t="shared" si="1083"/>
        <v>0</v>
      </c>
      <c r="FP106" s="201">
        <f t="shared" ca="1" si="1084"/>
        <v>0</v>
      </c>
      <c r="FQ106" s="200">
        <f t="shared" si="1085"/>
        <v>0</v>
      </c>
      <c r="FR106" s="201" cm="1">
        <f t="array" ref="FR106">IF(LEFT($AG106,3)="Res",IF(OR($DS106&gt;External_Threshold,$DI106&gt;0),1*Uplift*AWE*(External),0),0)</f>
        <v>0</v>
      </c>
      <c r="FS106" s="200">
        <f t="shared" si="1086"/>
        <v>1</v>
      </c>
      <c r="FT106" s="201">
        <f t="shared" si="1087"/>
        <v>0</v>
      </c>
      <c r="FU106" s="203">
        <f t="shared" si="1161"/>
        <v>0</v>
      </c>
      <c r="FV106" s="199">
        <f t="shared" ca="1" si="1088"/>
        <v>0</v>
      </c>
      <c r="FW106" s="200">
        <f t="shared" si="1089"/>
        <v>0</v>
      </c>
      <c r="FX106" s="201">
        <f t="shared" ca="1" si="1090"/>
        <v>0</v>
      </c>
      <c r="FY106" s="200">
        <f t="shared" si="1091"/>
        <v>0</v>
      </c>
      <c r="FZ106" s="201" cm="1">
        <f t="array" ref="FZ106">IF(LEFT($AG106,3)="Res",IF(OR($DT106&gt;External_Threshold,$DJ106&gt;0),1*Uplift*AWE*(External),0),0)</f>
        <v>0</v>
      </c>
      <c r="GA106" s="200">
        <f t="shared" si="1092"/>
        <v>0</v>
      </c>
      <c r="GB106" s="201">
        <f t="shared" si="1093"/>
        <v>0</v>
      </c>
      <c r="GC106" s="203">
        <f t="shared" si="1162"/>
        <v>0</v>
      </c>
      <c r="GD106" s="199">
        <f t="shared" ca="1" si="1094"/>
        <v>0</v>
      </c>
      <c r="GE106" s="200">
        <f t="shared" si="1095"/>
        <v>0</v>
      </c>
      <c r="GF106" s="201">
        <f t="shared" ca="1" si="1096"/>
        <v>0</v>
      </c>
      <c r="GG106" s="200">
        <f t="shared" si="1097"/>
        <v>0</v>
      </c>
      <c r="GH106" s="201" cm="1">
        <f t="array" ref="GH106">IF(LEFT($AG106,3)="Res",IF(OR($DU106&gt;External_Threshold,$DK106&gt;0),1*Uplift*AWE*(External),0),0)</f>
        <v>0</v>
      </c>
      <c r="GI106" s="200">
        <f t="shared" si="1098"/>
        <v>0</v>
      </c>
      <c r="GJ106" s="201">
        <f t="shared" si="1099"/>
        <v>0</v>
      </c>
      <c r="GK106" s="203">
        <f t="shared" si="1163"/>
        <v>0</v>
      </c>
      <c r="GL106" s="199">
        <f t="shared" ca="1" si="1100"/>
        <v>0</v>
      </c>
      <c r="GM106" s="200">
        <f t="shared" si="1101"/>
        <v>0</v>
      </c>
      <c r="GN106" s="201">
        <f t="shared" ca="1" si="1102"/>
        <v>0</v>
      </c>
      <c r="GO106" s="200">
        <f t="shared" si="1103"/>
        <v>0</v>
      </c>
      <c r="GP106" s="201" cm="1">
        <f t="array" ref="GP106">IF(LEFT($AG106,3)="Res",IF(OR($DV106&gt;External_Threshold,$DL106&gt;0),1*Uplift*AWE*(External),0),0)</f>
        <v>0</v>
      </c>
      <c r="GQ106" s="200">
        <f t="shared" si="1104"/>
        <v>0</v>
      </c>
      <c r="GR106" s="201">
        <f t="shared" si="1105"/>
        <v>0</v>
      </c>
      <c r="GS106" s="203">
        <f t="shared" si="1164"/>
        <v>0</v>
      </c>
      <c r="GT106" s="199">
        <f t="shared" ca="1" si="1106"/>
        <v>0</v>
      </c>
      <c r="GU106" s="200">
        <f t="shared" si="1107"/>
        <v>0</v>
      </c>
      <c r="GV106" s="201">
        <f t="shared" ca="1" si="1108"/>
        <v>0</v>
      </c>
      <c r="GW106" s="200">
        <f t="shared" si="1109"/>
        <v>0</v>
      </c>
      <c r="GX106" s="201" cm="1">
        <f t="array" ref="GX106">IF(LEFT($AG106,3)="Res",IF(OR($DW106&gt;External_Threshold,$DM106&gt;0),1*Uplift*AWE*(External),0),0)</f>
        <v>0</v>
      </c>
      <c r="GY106" s="200">
        <f t="shared" si="1110"/>
        <v>0</v>
      </c>
      <c r="GZ106" s="201">
        <f t="shared" si="1111"/>
        <v>0</v>
      </c>
      <c r="HA106" s="203">
        <f t="shared" si="1165"/>
        <v>0</v>
      </c>
      <c r="HB106" s="54"/>
      <c r="HC106" s="54"/>
      <c r="HD106" s="54"/>
      <c r="HE106" s="54"/>
      <c r="HF106" s="54"/>
      <c r="HG106" s="201">
        <f t="shared" ca="1" si="1166"/>
        <v>152663.56807914871</v>
      </c>
      <c r="HH106" s="201">
        <f t="shared" ca="1" si="1167"/>
        <v>91976.359948540136</v>
      </c>
      <c r="HI106" s="201">
        <f t="shared" ca="1" si="1168"/>
        <v>78080.831877834295</v>
      </c>
      <c r="HJ106" s="201">
        <f t="shared" ca="1" si="1169"/>
        <v>17354.410274963819</v>
      </c>
      <c r="HK106" s="201">
        <f t="shared" ca="1" si="1170"/>
        <v>15481.186685962373</v>
      </c>
      <c r="HL106" s="201">
        <f t="shared" ca="1" si="1171"/>
        <v>0</v>
      </c>
      <c r="HM106" s="201">
        <f t="shared" ca="1" si="1172"/>
        <v>0</v>
      </c>
      <c r="HN106" s="201">
        <f t="shared" ca="1" si="1173"/>
        <v>0</v>
      </c>
      <c r="HO106" s="201">
        <f t="shared" ca="1" si="1174"/>
        <v>0</v>
      </c>
      <c r="HP106" s="201">
        <f t="shared" ca="1" si="1175"/>
        <v>0</v>
      </c>
      <c r="HQ106" s="54"/>
    </row>
    <row r="107" spans="1:225" x14ac:dyDescent="0.3">
      <c r="A107" s="513">
        <v>89</v>
      </c>
      <c r="B107" s="514" t="s">
        <v>512</v>
      </c>
      <c r="C107" s="514" t="s">
        <v>390</v>
      </c>
      <c r="D107" s="514" t="s">
        <v>390</v>
      </c>
      <c r="E107" s="513">
        <v>1</v>
      </c>
      <c r="F107" s="515">
        <v>6.77</v>
      </c>
      <c r="G107" s="515">
        <v>5.83</v>
      </c>
      <c r="H107" s="513">
        <v>1</v>
      </c>
      <c r="I107" s="517">
        <v>1</v>
      </c>
      <c r="J107" s="518" t="s">
        <v>43</v>
      </c>
      <c r="K107" s="513">
        <f t="shared" si="1044"/>
        <v>180</v>
      </c>
      <c r="L107" s="519">
        <v>7.82</v>
      </c>
      <c r="M107" s="519">
        <v>6.6499999999999995</v>
      </c>
      <c r="N107" s="519">
        <v>6.35</v>
      </c>
      <c r="O107" s="519">
        <v>6.05</v>
      </c>
      <c r="P107" s="519">
        <v>5.55</v>
      </c>
      <c r="Q107" s="519">
        <v>5.03</v>
      </c>
      <c r="R107" s="519">
        <v>4.2300000000000004</v>
      </c>
      <c r="S107" s="519">
        <v>0</v>
      </c>
      <c r="T107" s="519">
        <v>0</v>
      </c>
      <c r="U107" s="519">
        <v>0</v>
      </c>
      <c r="V107" s="536"/>
      <c r="W107" s="536"/>
      <c r="X107" s="536"/>
      <c r="Y107" s="536"/>
      <c r="Z107" s="536"/>
      <c r="AA107" s="536"/>
      <c r="AB107" s="536"/>
      <c r="AC107" s="536"/>
      <c r="AD107" s="536"/>
      <c r="AE107" s="536"/>
      <c r="AF107" s="54"/>
      <c r="AG107" s="204" t="str">
        <f t="shared" si="1253"/>
        <v>Res1</v>
      </c>
      <c r="AH107" s="204">
        <f t="shared" si="1112"/>
        <v>5</v>
      </c>
      <c r="AI107" s="204">
        <f t="shared" si="1045"/>
        <v>1</v>
      </c>
      <c r="AJ107" s="54"/>
      <c r="AK107" s="74">
        <f>IFERROR(IF(H107&gt;4,0,AI107*Inputs!$C$55),0)</f>
        <v>2.6</v>
      </c>
      <c r="AL107" s="81">
        <f>IFERROR(Inputs!$C$73,0)</f>
        <v>5</v>
      </c>
      <c r="AM107" s="211">
        <f>IFERROR(Inputs!$C$74,0)</f>
        <v>0.24299999999999999</v>
      </c>
      <c r="AN107" s="446">
        <f>IFERROR(HLOOKUP(HLOOKUP(AN$17,$V$18:$AE107,COUNTA($AK$18:$AK107),FALSE),Inputs!$B$58:$H$59,2,FALSE),0)</f>
        <v>0</v>
      </c>
      <c r="AO107" s="447">
        <f t="shared" si="1113"/>
        <v>0</v>
      </c>
      <c r="AP107" s="447">
        <f t="shared" si="1114"/>
        <v>0</v>
      </c>
      <c r="AQ107" s="446">
        <f>IFERROR(HLOOKUP(HLOOKUP(AQ$17,$V$18:$AE107,COUNTA($AK$18:$AK107),FALSE),Inputs!$B$58:$H$59,2,FALSE),0)</f>
        <v>0</v>
      </c>
      <c r="AR107" s="447">
        <f t="shared" ref="AR107" si="1380">2*$AK107*AQ107*$AL107/100*$AM107</f>
        <v>0</v>
      </c>
      <c r="AS107" s="447">
        <f t="shared" si="1116"/>
        <v>0</v>
      </c>
      <c r="AT107" s="446">
        <f>IFERROR(HLOOKUP(HLOOKUP(AT$17,$V$18:$AE107,COUNTA($AK$18:$AK107),FALSE),Inputs!$B$58:$H$59,2,FALSE),0)</f>
        <v>0</v>
      </c>
      <c r="AU107" s="447">
        <f t="shared" ref="AU107" si="1381">2*$AK107*AT107*$AL107/100*$AM107</f>
        <v>0</v>
      </c>
      <c r="AV107" s="447">
        <f t="shared" si="1118"/>
        <v>0</v>
      </c>
      <c r="AW107" s="446">
        <f>IFERROR(HLOOKUP(HLOOKUP(AW$17,$V$18:$AE107,COUNTA($AK$18:$AK107),FALSE),Inputs!$B$58:$H$59,2,FALSE),0)</f>
        <v>0</v>
      </c>
      <c r="AX107" s="447">
        <f t="shared" ref="AX107" si="1382">2*$AK107*AW107*$AL107/100*$AM107</f>
        <v>0</v>
      </c>
      <c r="AY107" s="447">
        <f t="shared" si="1120"/>
        <v>0</v>
      </c>
      <c r="AZ107" s="446">
        <f>IFERROR(HLOOKUP(HLOOKUP(AZ$17,$V$18:$AE107,COUNTA($AK$18:$AK107),FALSE),Inputs!$B$58:$H$59,2,FALSE),0)</f>
        <v>0</v>
      </c>
      <c r="BA107" s="447">
        <f t="shared" ref="BA107" si="1383">2*$AK107*AZ107*$AL107/100*$AM107</f>
        <v>0</v>
      </c>
      <c r="BB107" s="447">
        <f t="shared" si="1122"/>
        <v>0</v>
      </c>
      <c r="BC107" s="446">
        <f>IFERROR(HLOOKUP(HLOOKUP(BC$17,$V$18:$AE107,COUNTA($AK$18:$AK107),FALSE),Inputs!$B$58:$H$59,2,FALSE),0)</f>
        <v>0</v>
      </c>
      <c r="BD107" s="447">
        <f t="shared" ref="BD107" si="1384">2*$AK107*BC107*$AL107/100*$AM107</f>
        <v>0</v>
      </c>
      <c r="BE107" s="447">
        <f t="shared" si="1124"/>
        <v>0</v>
      </c>
      <c r="BF107" s="446">
        <f>IFERROR(HLOOKUP(HLOOKUP(BF$17,$V$18:$AE107,COUNTA($AK$18:$AK107),FALSE),Inputs!$B$58:$H$59,2,FALSE),0)</f>
        <v>0</v>
      </c>
      <c r="BG107" s="447">
        <f t="shared" ref="BG107" si="1385">2*$AK107*BF107*$AL107/100*$AM107</f>
        <v>0</v>
      </c>
      <c r="BH107" s="447">
        <f t="shared" si="1126"/>
        <v>0</v>
      </c>
      <c r="BI107" s="446">
        <f>IFERROR(HLOOKUP(HLOOKUP(BI$17,$V$18:$AE107,COUNTA($AK$18:$AK107),FALSE),Inputs!$B$58:$H$59,2,FALSE),0)</f>
        <v>0</v>
      </c>
      <c r="BJ107" s="447">
        <f t="shared" ref="BJ107" si="1386">2*$AK107*BI107*$AL107/100*$AM107</f>
        <v>0</v>
      </c>
      <c r="BK107" s="447">
        <f t="shared" si="1128"/>
        <v>0</v>
      </c>
      <c r="BL107" s="446">
        <f>IFERROR(HLOOKUP(HLOOKUP(BL$17,$V$18:$AE107,COUNTA($AK$18:$AK107),FALSE),Inputs!$B$58:$H$59,2,FALSE),0)</f>
        <v>0</v>
      </c>
      <c r="BM107" s="447">
        <f t="shared" ref="BM107" si="1387">2*$AK107*BL107*$AL107/100*$AM107</f>
        <v>0</v>
      </c>
      <c r="BN107" s="447">
        <f t="shared" si="1130"/>
        <v>0</v>
      </c>
      <c r="BO107" s="446">
        <f>IFERROR(HLOOKUP(HLOOKUP(BO$17,$V$18:$AE107,COUNTA($AK$18:$AK107),FALSE),Inputs!$B$58:$H$59,2,FALSE),0)</f>
        <v>0</v>
      </c>
      <c r="BP107" s="447">
        <f t="shared" ref="BP107" si="1388">2*$AK107*BO107*$AL107/100*$AM107</f>
        <v>0</v>
      </c>
      <c r="BQ107" s="447">
        <f t="shared" si="1132"/>
        <v>0</v>
      </c>
      <c r="BR107" s="54"/>
      <c r="BS107" s="103">
        <f t="shared" ca="1" si="1203"/>
        <v>100.4391835672938</v>
      </c>
      <c r="BT107" s="103">
        <f t="shared" ca="1" si="1204"/>
        <v>87.866390200028789</v>
      </c>
      <c r="BU107" s="103">
        <f t="shared" si="1205"/>
        <v>115.95408827785818</v>
      </c>
      <c r="BV107" s="103">
        <f t="shared" si="1206"/>
        <v>0</v>
      </c>
      <c r="BW107" s="152">
        <f t="shared" ca="1" si="1207"/>
        <v>304.25966204518079</v>
      </c>
      <c r="BX107" s="441"/>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188">
        <f t="shared" si="1133"/>
        <v>1.0500000000000007</v>
      </c>
      <c r="DE107" s="188">
        <f t="shared" si="1134"/>
        <v>-0.12000000000000011</v>
      </c>
      <c r="DF107" s="188">
        <f t="shared" si="1135"/>
        <v>-0.3</v>
      </c>
      <c r="DG107" s="188">
        <f t="shared" si="1136"/>
        <v>-0.3</v>
      </c>
      <c r="DH107" s="188">
        <f t="shared" si="1137"/>
        <v>-0.3</v>
      </c>
      <c r="DI107" s="188">
        <f t="shared" si="1138"/>
        <v>-0.3</v>
      </c>
      <c r="DJ107" s="188">
        <f t="shared" si="1139"/>
        <v>-0.3</v>
      </c>
      <c r="DK107" s="188">
        <f t="shared" si="1140"/>
        <v>-0.3</v>
      </c>
      <c r="DL107" s="188">
        <f t="shared" si="1141"/>
        <v>-0.3</v>
      </c>
      <c r="DM107" s="188">
        <f t="shared" si="1142"/>
        <v>-0.3</v>
      </c>
      <c r="DN107" s="189">
        <f t="shared" si="1143"/>
        <v>1.9900000000000002</v>
      </c>
      <c r="DO107" s="189">
        <f t="shared" si="1144"/>
        <v>0.8199999999999994</v>
      </c>
      <c r="DP107" s="189">
        <f t="shared" si="1145"/>
        <v>0.51999999999999957</v>
      </c>
      <c r="DQ107" s="189">
        <f t="shared" si="1146"/>
        <v>0.21999999999999975</v>
      </c>
      <c r="DR107" s="189">
        <f t="shared" si="1147"/>
        <v>0</v>
      </c>
      <c r="DS107" s="189">
        <f t="shared" si="1148"/>
        <v>0</v>
      </c>
      <c r="DT107" s="189">
        <f t="shared" si="1149"/>
        <v>0</v>
      </c>
      <c r="DU107" s="189">
        <f t="shared" si="1150"/>
        <v>0</v>
      </c>
      <c r="DV107" s="189">
        <f t="shared" si="1151"/>
        <v>0</v>
      </c>
      <c r="DW107" s="189">
        <f t="shared" si="1152"/>
        <v>0</v>
      </c>
      <c r="DX107" s="54"/>
      <c r="DY107" s="54"/>
      <c r="DZ107" s="199">
        <f t="shared" ca="1" si="1055"/>
        <v>91549.54558610711</v>
      </c>
      <c r="EA107" s="200">
        <f t="shared" si="1153"/>
        <v>1</v>
      </c>
      <c r="EB107" s="201">
        <f t="shared" ca="1" si="1056"/>
        <v>88307.92984927517</v>
      </c>
      <c r="EC107" s="200">
        <f t="shared" si="1154"/>
        <v>1</v>
      </c>
      <c r="ED107" s="201" cm="1">
        <f t="array" ref="ED107">IF(LEFT($AG107,3)="Res",IF(OR($DN107&gt;External_Threshold,$DD107&gt;0),1*Uplift*AWE*(External),0),0)</f>
        <v>15481.186685962373</v>
      </c>
      <c r="EE107" s="200">
        <f t="shared" si="1155"/>
        <v>1</v>
      </c>
      <c r="EF107" s="201">
        <f t="shared" si="1057"/>
        <v>0</v>
      </c>
      <c r="EG107" s="203">
        <f t="shared" si="1156"/>
        <v>0</v>
      </c>
      <c r="EH107" s="199">
        <f t="shared" ca="1" si="1058"/>
        <v>3746.4471780028939</v>
      </c>
      <c r="EI107" s="200">
        <f t="shared" si="1059"/>
        <v>0</v>
      </c>
      <c r="EJ107" s="201">
        <f t="shared" ca="1" si="1060"/>
        <v>0</v>
      </c>
      <c r="EK107" s="200">
        <f t="shared" si="1061"/>
        <v>0</v>
      </c>
      <c r="EL107" s="201" cm="1">
        <f t="array" ref="EL107">IF(LEFT($AG107,3)="Res",IF(OR($DO107&gt;External_Threshold,$DE107&gt;0),1*Uplift*AWE*(External),0),0)</f>
        <v>15481.186685962373</v>
      </c>
      <c r="EM107" s="200">
        <f t="shared" si="1062"/>
        <v>1</v>
      </c>
      <c r="EN107" s="201">
        <f t="shared" si="1063"/>
        <v>0</v>
      </c>
      <c r="EO107" s="203">
        <f t="shared" si="1157"/>
        <v>0</v>
      </c>
      <c r="EP107" s="199">
        <f t="shared" ca="1" si="1064"/>
        <v>0</v>
      </c>
      <c r="EQ107" s="200">
        <f t="shared" si="1065"/>
        <v>0</v>
      </c>
      <c r="ER107" s="201">
        <f t="shared" ca="1" si="1066"/>
        <v>0</v>
      </c>
      <c r="ES107" s="200">
        <f t="shared" si="1067"/>
        <v>0</v>
      </c>
      <c r="ET107" s="201" cm="1">
        <f t="array" ref="ET107">IF(LEFT($AG107,3)="Res",IF(OR($DP107&gt;External_Threshold,$DF107&gt;0),1*Uplift*AWE*(External),0),0)</f>
        <v>15481.186685962373</v>
      </c>
      <c r="EU107" s="200">
        <f t="shared" si="1068"/>
        <v>1</v>
      </c>
      <c r="EV107" s="201">
        <f t="shared" si="1069"/>
        <v>0</v>
      </c>
      <c r="EW107" s="203">
        <f t="shared" si="1158"/>
        <v>0</v>
      </c>
      <c r="EX107" s="199">
        <f t="shared" ca="1" si="1070"/>
        <v>0</v>
      </c>
      <c r="EY107" s="200">
        <f t="shared" si="1071"/>
        <v>0</v>
      </c>
      <c r="EZ107" s="201">
        <f t="shared" ca="1" si="1072"/>
        <v>0</v>
      </c>
      <c r="FA107" s="200">
        <f t="shared" si="1073"/>
        <v>0</v>
      </c>
      <c r="FB107" s="201" cm="1">
        <f t="array" ref="FB107">IF(LEFT($AG107,3)="Res",IF(OR($DQ107&gt;External_Threshold,$DG107&gt;0),1*Uplift*AWE*(External),0),0)</f>
        <v>0</v>
      </c>
      <c r="FC107" s="200">
        <f t="shared" si="1074"/>
        <v>1</v>
      </c>
      <c r="FD107" s="201">
        <f t="shared" si="1075"/>
        <v>0</v>
      </c>
      <c r="FE107" s="203">
        <f t="shared" si="1159"/>
        <v>0</v>
      </c>
      <c r="FF107" s="199">
        <f t="shared" ca="1" si="1076"/>
        <v>0</v>
      </c>
      <c r="FG107" s="200">
        <f t="shared" si="1077"/>
        <v>0</v>
      </c>
      <c r="FH107" s="201">
        <f t="shared" ca="1" si="1078"/>
        <v>0</v>
      </c>
      <c r="FI107" s="200">
        <f t="shared" si="1079"/>
        <v>0</v>
      </c>
      <c r="FJ107" s="201" cm="1">
        <f t="array" ref="FJ107">IF(LEFT($AG107,3)="Res",IF(OR($DR107&gt;External_Threshold,$DH107&gt;0),1*Uplift*AWE*(External),0),0)</f>
        <v>0</v>
      </c>
      <c r="FK107" s="200">
        <f t="shared" si="1080"/>
        <v>0</v>
      </c>
      <c r="FL107" s="201">
        <f t="shared" si="1081"/>
        <v>0</v>
      </c>
      <c r="FM107" s="203">
        <f t="shared" si="1160"/>
        <v>0</v>
      </c>
      <c r="FN107" s="199">
        <f t="shared" ca="1" si="1082"/>
        <v>0</v>
      </c>
      <c r="FO107" s="200">
        <f t="shared" si="1083"/>
        <v>0</v>
      </c>
      <c r="FP107" s="201">
        <f t="shared" ca="1" si="1084"/>
        <v>0</v>
      </c>
      <c r="FQ107" s="200">
        <f t="shared" si="1085"/>
        <v>0</v>
      </c>
      <c r="FR107" s="201" cm="1">
        <f t="array" ref="FR107">IF(LEFT($AG107,3)="Res",IF(OR($DS107&gt;External_Threshold,$DI107&gt;0),1*Uplift*AWE*(External),0),0)</f>
        <v>0</v>
      </c>
      <c r="FS107" s="200">
        <f t="shared" si="1086"/>
        <v>0</v>
      </c>
      <c r="FT107" s="201">
        <f t="shared" si="1087"/>
        <v>0</v>
      </c>
      <c r="FU107" s="203">
        <f t="shared" si="1161"/>
        <v>0</v>
      </c>
      <c r="FV107" s="199">
        <f t="shared" ca="1" si="1088"/>
        <v>0</v>
      </c>
      <c r="FW107" s="200">
        <f t="shared" si="1089"/>
        <v>0</v>
      </c>
      <c r="FX107" s="201">
        <f t="shared" ca="1" si="1090"/>
        <v>0</v>
      </c>
      <c r="FY107" s="200">
        <f t="shared" si="1091"/>
        <v>0</v>
      </c>
      <c r="FZ107" s="201" cm="1">
        <f t="array" ref="FZ107">IF(LEFT($AG107,3)="Res",IF(OR($DT107&gt;External_Threshold,$DJ107&gt;0),1*Uplift*AWE*(External),0),0)</f>
        <v>0</v>
      </c>
      <c r="GA107" s="200">
        <f t="shared" si="1092"/>
        <v>0</v>
      </c>
      <c r="GB107" s="201">
        <f t="shared" si="1093"/>
        <v>0</v>
      </c>
      <c r="GC107" s="203">
        <f t="shared" si="1162"/>
        <v>0</v>
      </c>
      <c r="GD107" s="199">
        <f t="shared" ca="1" si="1094"/>
        <v>0</v>
      </c>
      <c r="GE107" s="200">
        <f t="shared" si="1095"/>
        <v>0</v>
      </c>
      <c r="GF107" s="201">
        <f t="shared" ca="1" si="1096"/>
        <v>0</v>
      </c>
      <c r="GG107" s="200">
        <f t="shared" si="1097"/>
        <v>0</v>
      </c>
      <c r="GH107" s="201" cm="1">
        <f t="array" ref="GH107">IF(LEFT($AG107,3)="Res",IF(OR($DU107&gt;External_Threshold,$DK107&gt;0),1*Uplift*AWE*(External),0),0)</f>
        <v>0</v>
      </c>
      <c r="GI107" s="200">
        <f t="shared" si="1098"/>
        <v>0</v>
      </c>
      <c r="GJ107" s="201">
        <f t="shared" si="1099"/>
        <v>0</v>
      </c>
      <c r="GK107" s="203">
        <f t="shared" si="1163"/>
        <v>0</v>
      </c>
      <c r="GL107" s="199">
        <f t="shared" ca="1" si="1100"/>
        <v>0</v>
      </c>
      <c r="GM107" s="200">
        <f t="shared" si="1101"/>
        <v>0</v>
      </c>
      <c r="GN107" s="201">
        <f t="shared" ca="1" si="1102"/>
        <v>0</v>
      </c>
      <c r="GO107" s="200">
        <f t="shared" si="1103"/>
        <v>0</v>
      </c>
      <c r="GP107" s="201" cm="1">
        <f t="array" ref="GP107">IF(LEFT($AG107,3)="Res",IF(OR($DV107&gt;External_Threshold,$DL107&gt;0),1*Uplift*AWE*(External),0),0)</f>
        <v>0</v>
      </c>
      <c r="GQ107" s="200">
        <f t="shared" si="1104"/>
        <v>0</v>
      </c>
      <c r="GR107" s="201">
        <f t="shared" si="1105"/>
        <v>0</v>
      </c>
      <c r="GS107" s="203">
        <f t="shared" si="1164"/>
        <v>0</v>
      </c>
      <c r="GT107" s="199">
        <f t="shared" ca="1" si="1106"/>
        <v>0</v>
      </c>
      <c r="GU107" s="200">
        <f t="shared" si="1107"/>
        <v>0</v>
      </c>
      <c r="GV107" s="201">
        <f t="shared" ca="1" si="1108"/>
        <v>0</v>
      </c>
      <c r="GW107" s="200">
        <f t="shared" si="1109"/>
        <v>0</v>
      </c>
      <c r="GX107" s="201" cm="1">
        <f t="array" ref="GX107">IF(LEFT($AG107,3)="Res",IF(OR($DW107&gt;External_Threshold,$DM107&gt;0),1*Uplift*AWE*(External),0),0)</f>
        <v>0</v>
      </c>
      <c r="GY107" s="200">
        <f t="shared" si="1110"/>
        <v>0</v>
      </c>
      <c r="GZ107" s="201">
        <f t="shared" si="1111"/>
        <v>0</v>
      </c>
      <c r="HA107" s="203">
        <f t="shared" si="1165"/>
        <v>0</v>
      </c>
      <c r="HB107" s="54"/>
      <c r="HC107" s="54"/>
      <c r="HD107" s="54"/>
      <c r="HE107" s="54"/>
      <c r="HF107" s="54"/>
      <c r="HG107" s="201">
        <f t="shared" ca="1" si="1166"/>
        <v>195338.66212134465</v>
      </c>
      <c r="HH107" s="201">
        <f t="shared" ca="1" si="1167"/>
        <v>19227.633863965268</v>
      </c>
      <c r="HI107" s="201">
        <f t="shared" ca="1" si="1168"/>
        <v>15481.186685962373</v>
      </c>
      <c r="HJ107" s="201">
        <f t="shared" ca="1" si="1169"/>
        <v>0</v>
      </c>
      <c r="HK107" s="201">
        <f t="shared" ca="1" si="1170"/>
        <v>0</v>
      </c>
      <c r="HL107" s="201">
        <f t="shared" ca="1" si="1171"/>
        <v>0</v>
      </c>
      <c r="HM107" s="201">
        <f t="shared" ca="1" si="1172"/>
        <v>0</v>
      </c>
      <c r="HN107" s="201">
        <f t="shared" ca="1" si="1173"/>
        <v>0</v>
      </c>
      <c r="HO107" s="201">
        <f t="shared" ca="1" si="1174"/>
        <v>0</v>
      </c>
      <c r="HP107" s="201">
        <f t="shared" ca="1" si="1175"/>
        <v>0</v>
      </c>
      <c r="HQ107" s="54"/>
    </row>
    <row r="108" spans="1:225" x14ac:dyDescent="0.3">
      <c r="A108" s="513">
        <v>90</v>
      </c>
      <c r="B108" s="514" t="s">
        <v>513</v>
      </c>
      <c r="C108" s="514" t="s">
        <v>390</v>
      </c>
      <c r="D108" s="514" t="s">
        <v>390</v>
      </c>
      <c r="E108" s="513">
        <v>1</v>
      </c>
      <c r="F108" s="515">
        <v>6.22</v>
      </c>
      <c r="G108" s="515">
        <v>5.51</v>
      </c>
      <c r="H108" s="513">
        <v>1</v>
      </c>
      <c r="I108" s="517">
        <v>1</v>
      </c>
      <c r="J108" s="518" t="s">
        <v>44</v>
      </c>
      <c r="K108" s="513">
        <f t="shared" si="1044"/>
        <v>240</v>
      </c>
      <c r="L108" s="519">
        <v>7.82</v>
      </c>
      <c r="M108" s="519">
        <v>6.6499999999999995</v>
      </c>
      <c r="N108" s="519">
        <v>6.35</v>
      </c>
      <c r="O108" s="519">
        <v>6.05</v>
      </c>
      <c r="P108" s="519">
        <v>5.55</v>
      </c>
      <c r="Q108" s="519">
        <v>5.03</v>
      </c>
      <c r="R108" s="519">
        <v>4.2300000000000004</v>
      </c>
      <c r="S108" s="519">
        <v>0</v>
      </c>
      <c r="T108" s="519">
        <v>0</v>
      </c>
      <c r="U108" s="519">
        <v>0</v>
      </c>
      <c r="V108" s="536"/>
      <c r="W108" s="536"/>
      <c r="X108" s="536"/>
      <c r="Y108" s="536"/>
      <c r="Z108" s="536"/>
      <c r="AA108" s="536"/>
      <c r="AB108" s="536"/>
      <c r="AC108" s="536"/>
      <c r="AD108" s="536"/>
      <c r="AE108" s="536"/>
      <c r="AF108" s="54"/>
      <c r="AG108" s="204" t="str">
        <f t="shared" si="1253"/>
        <v>Res1</v>
      </c>
      <c r="AH108" s="204">
        <f t="shared" si="1112"/>
        <v>6</v>
      </c>
      <c r="AI108" s="204">
        <f t="shared" si="1045"/>
        <v>1</v>
      </c>
      <c r="AJ108" s="54"/>
      <c r="AK108" s="74">
        <f>IFERROR(IF(H108&gt;4,0,AI108*Inputs!$C$55),0)</f>
        <v>2.6</v>
      </c>
      <c r="AL108" s="81">
        <f>IFERROR(Inputs!$C$73,0)</f>
        <v>5</v>
      </c>
      <c r="AM108" s="211">
        <f>IFERROR(Inputs!$C$74,0)</f>
        <v>0.24299999999999999</v>
      </c>
      <c r="AN108" s="446">
        <f>IFERROR(HLOOKUP(HLOOKUP(AN$17,$V$18:$AE108,COUNTA($AK$18:$AK108),FALSE),Inputs!$B$58:$H$59,2,FALSE),0)</f>
        <v>0</v>
      </c>
      <c r="AO108" s="447">
        <f t="shared" si="1113"/>
        <v>0</v>
      </c>
      <c r="AP108" s="447">
        <f t="shared" si="1114"/>
        <v>0</v>
      </c>
      <c r="AQ108" s="446">
        <f>IFERROR(HLOOKUP(HLOOKUP(AQ$17,$V$18:$AE108,COUNTA($AK$18:$AK108),FALSE),Inputs!$B$58:$H$59,2,FALSE),0)</f>
        <v>0</v>
      </c>
      <c r="AR108" s="447">
        <f t="shared" ref="AR108" si="1389">2*$AK108*AQ108*$AL108/100*$AM108</f>
        <v>0</v>
      </c>
      <c r="AS108" s="447">
        <f t="shared" si="1116"/>
        <v>0</v>
      </c>
      <c r="AT108" s="446">
        <f>IFERROR(HLOOKUP(HLOOKUP(AT$17,$V$18:$AE108,COUNTA($AK$18:$AK108),FALSE),Inputs!$B$58:$H$59,2,FALSE),0)</f>
        <v>0</v>
      </c>
      <c r="AU108" s="447">
        <f t="shared" ref="AU108" si="1390">2*$AK108*AT108*$AL108/100*$AM108</f>
        <v>0</v>
      </c>
      <c r="AV108" s="447">
        <f t="shared" si="1118"/>
        <v>0</v>
      </c>
      <c r="AW108" s="446">
        <f>IFERROR(HLOOKUP(HLOOKUP(AW$17,$V$18:$AE108,COUNTA($AK$18:$AK108),FALSE),Inputs!$B$58:$H$59,2,FALSE),0)</f>
        <v>0</v>
      </c>
      <c r="AX108" s="447">
        <f t="shared" ref="AX108" si="1391">2*$AK108*AW108*$AL108/100*$AM108</f>
        <v>0</v>
      </c>
      <c r="AY108" s="447">
        <f t="shared" si="1120"/>
        <v>0</v>
      </c>
      <c r="AZ108" s="446">
        <f>IFERROR(HLOOKUP(HLOOKUP(AZ$17,$V$18:$AE108,COUNTA($AK$18:$AK108),FALSE),Inputs!$B$58:$H$59,2,FALSE),0)</f>
        <v>0</v>
      </c>
      <c r="BA108" s="447">
        <f t="shared" ref="BA108" si="1392">2*$AK108*AZ108*$AL108/100*$AM108</f>
        <v>0</v>
      </c>
      <c r="BB108" s="447">
        <f t="shared" si="1122"/>
        <v>0</v>
      </c>
      <c r="BC108" s="446">
        <f>IFERROR(HLOOKUP(HLOOKUP(BC$17,$V$18:$AE108,COUNTA($AK$18:$AK108),FALSE),Inputs!$B$58:$H$59,2,FALSE),0)</f>
        <v>0</v>
      </c>
      <c r="BD108" s="447">
        <f t="shared" ref="BD108" si="1393">2*$AK108*BC108*$AL108/100*$AM108</f>
        <v>0</v>
      </c>
      <c r="BE108" s="447">
        <f t="shared" si="1124"/>
        <v>0</v>
      </c>
      <c r="BF108" s="446">
        <f>IFERROR(HLOOKUP(HLOOKUP(BF$17,$V$18:$AE108,COUNTA($AK$18:$AK108),FALSE),Inputs!$B$58:$H$59,2,FALSE),0)</f>
        <v>0</v>
      </c>
      <c r="BG108" s="447">
        <f t="shared" ref="BG108" si="1394">2*$AK108*BF108*$AL108/100*$AM108</f>
        <v>0</v>
      </c>
      <c r="BH108" s="447">
        <f t="shared" si="1126"/>
        <v>0</v>
      </c>
      <c r="BI108" s="446">
        <f>IFERROR(HLOOKUP(HLOOKUP(BI$17,$V$18:$AE108,COUNTA($AK$18:$AK108),FALSE),Inputs!$B$58:$H$59,2,FALSE),0)</f>
        <v>0</v>
      </c>
      <c r="BJ108" s="447">
        <f t="shared" ref="BJ108" si="1395">2*$AK108*BI108*$AL108/100*$AM108</f>
        <v>0</v>
      </c>
      <c r="BK108" s="447">
        <f t="shared" si="1128"/>
        <v>0</v>
      </c>
      <c r="BL108" s="446">
        <f>IFERROR(HLOOKUP(HLOOKUP(BL$17,$V$18:$AE108,COUNTA($AK$18:$AK108),FALSE),Inputs!$B$58:$H$59,2,FALSE),0)</f>
        <v>0</v>
      </c>
      <c r="BM108" s="447">
        <f t="shared" ref="BM108" si="1396">2*$AK108*BL108*$AL108/100*$AM108</f>
        <v>0</v>
      </c>
      <c r="BN108" s="447">
        <f t="shared" si="1130"/>
        <v>0</v>
      </c>
      <c r="BO108" s="446">
        <f>IFERROR(HLOOKUP(HLOOKUP(BO$17,$V$18:$AE108,COUNTA($AK$18:$AK108),FALSE),Inputs!$B$58:$H$59,2,FALSE),0)</f>
        <v>0</v>
      </c>
      <c r="BP108" s="447">
        <f t="shared" ref="BP108" si="1397">2*$AK108*BO108*$AL108/100*$AM108</f>
        <v>0</v>
      </c>
      <c r="BQ108" s="447">
        <f t="shared" si="1132"/>
        <v>0</v>
      </c>
      <c r="BR108" s="54"/>
      <c r="BS108" s="103">
        <f t="shared" ca="1" si="1203"/>
        <v>855.02257608779541</v>
      </c>
      <c r="BT108" s="103">
        <f t="shared" ca="1" si="1204"/>
        <v>460.69905875439071</v>
      </c>
      <c r="BU108" s="103">
        <f t="shared" si="1205"/>
        <v>232.06298842257598</v>
      </c>
      <c r="BV108" s="103">
        <f t="shared" si="1206"/>
        <v>0</v>
      </c>
      <c r="BW108" s="152">
        <f t="shared" ca="1" si="1207"/>
        <v>1547.7846232647621</v>
      </c>
      <c r="BX108" s="441"/>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188">
        <f t="shared" si="1133"/>
        <v>1.6000000000000005</v>
      </c>
      <c r="DE108" s="188">
        <f t="shared" si="1134"/>
        <v>0.42999999999999972</v>
      </c>
      <c r="DF108" s="188">
        <f t="shared" si="1135"/>
        <v>0.12999999999999989</v>
      </c>
      <c r="DG108" s="188">
        <f t="shared" si="1136"/>
        <v>-0.16999999999999993</v>
      </c>
      <c r="DH108" s="188">
        <f t="shared" si="1137"/>
        <v>-0.3</v>
      </c>
      <c r="DI108" s="188">
        <f t="shared" si="1138"/>
        <v>-0.3</v>
      </c>
      <c r="DJ108" s="188">
        <f t="shared" si="1139"/>
        <v>-0.3</v>
      </c>
      <c r="DK108" s="188">
        <f t="shared" si="1140"/>
        <v>-0.3</v>
      </c>
      <c r="DL108" s="188">
        <f t="shared" si="1141"/>
        <v>-0.3</v>
      </c>
      <c r="DM108" s="188">
        <f t="shared" si="1142"/>
        <v>-0.3</v>
      </c>
      <c r="DN108" s="189">
        <f t="shared" si="1143"/>
        <v>2.3100000000000005</v>
      </c>
      <c r="DO108" s="189">
        <f t="shared" si="1144"/>
        <v>1.1399999999999997</v>
      </c>
      <c r="DP108" s="189">
        <f t="shared" si="1145"/>
        <v>0.83999999999999986</v>
      </c>
      <c r="DQ108" s="189">
        <f t="shared" si="1146"/>
        <v>0.54</v>
      </c>
      <c r="DR108" s="189">
        <f t="shared" si="1147"/>
        <v>4.0000000000000036E-2</v>
      </c>
      <c r="DS108" s="189">
        <f t="shared" si="1148"/>
        <v>0</v>
      </c>
      <c r="DT108" s="189">
        <f t="shared" si="1149"/>
        <v>0</v>
      </c>
      <c r="DU108" s="189">
        <f t="shared" si="1150"/>
        <v>0</v>
      </c>
      <c r="DV108" s="189">
        <f t="shared" si="1151"/>
        <v>0</v>
      </c>
      <c r="DW108" s="189">
        <f t="shared" si="1152"/>
        <v>0</v>
      </c>
      <c r="DX108" s="54"/>
      <c r="DY108" s="54"/>
      <c r="DZ108" s="199">
        <f t="shared" ca="1" si="1055"/>
        <v>149085.89194404247</v>
      </c>
      <c r="EA108" s="200">
        <f t="shared" si="1153"/>
        <v>1</v>
      </c>
      <c r="EB108" s="201">
        <f t="shared" ca="1" si="1056"/>
        <v>122226.76468383893</v>
      </c>
      <c r="EC108" s="200">
        <f t="shared" si="1154"/>
        <v>1</v>
      </c>
      <c r="ED108" s="201" cm="1">
        <f t="array" ref="ED108">IF(LEFT($AG108,3)="Res",IF(OR($DN108&gt;External_Threshold,$DD108&gt;0),1*Uplift*AWE*(External),0),0)</f>
        <v>15481.186685962373</v>
      </c>
      <c r="EE108" s="200">
        <f t="shared" si="1155"/>
        <v>1</v>
      </c>
      <c r="EF108" s="201">
        <f t="shared" si="1057"/>
        <v>0</v>
      </c>
      <c r="EG108" s="203">
        <f t="shared" si="1156"/>
        <v>0</v>
      </c>
      <c r="EH108" s="199">
        <f t="shared" ca="1" si="1058"/>
        <v>108987.5542691751</v>
      </c>
      <c r="EI108" s="200">
        <f t="shared" si="1059"/>
        <v>1</v>
      </c>
      <c r="EJ108" s="201">
        <f t="shared" ca="1" si="1060"/>
        <v>74310.110846332886</v>
      </c>
      <c r="EK108" s="200">
        <f t="shared" si="1061"/>
        <v>1</v>
      </c>
      <c r="EL108" s="201" cm="1">
        <f t="array" ref="EL108">IF(LEFT($AG108,3)="Res",IF(OR($DO108&gt;External_Threshold,$DE108&gt;0),1*Uplift*AWE*(External),0),0)</f>
        <v>15481.186685962373</v>
      </c>
      <c r="EM108" s="200">
        <f t="shared" si="1062"/>
        <v>1</v>
      </c>
      <c r="EN108" s="201">
        <f t="shared" si="1063"/>
        <v>0</v>
      </c>
      <c r="EO108" s="203">
        <f t="shared" si="1157"/>
        <v>0</v>
      </c>
      <c r="EP108" s="199">
        <f t="shared" ca="1" si="1064"/>
        <v>101664.95296671492</v>
      </c>
      <c r="EQ108" s="200">
        <f t="shared" si="1065"/>
        <v>1</v>
      </c>
      <c r="ER108" s="201">
        <f t="shared" ca="1" si="1066"/>
        <v>38419.925333092608</v>
      </c>
      <c r="ES108" s="200">
        <f t="shared" si="1067"/>
        <v>1</v>
      </c>
      <c r="ET108" s="201" cm="1">
        <f t="array" ref="ET108">IF(LEFT($AG108,3)="Res",IF(OR($DP108&gt;External_Threshold,$DF108&gt;0),1*Uplift*AWE*(External),0),0)</f>
        <v>15481.186685962373</v>
      </c>
      <c r="EU108" s="200">
        <f t="shared" si="1068"/>
        <v>1</v>
      </c>
      <c r="EV108" s="201">
        <f t="shared" si="1069"/>
        <v>0</v>
      </c>
      <c r="EW108" s="203">
        <f t="shared" si="1158"/>
        <v>0</v>
      </c>
      <c r="EX108" s="199">
        <f t="shared" ca="1" si="1070"/>
        <v>3746.4471780028939</v>
      </c>
      <c r="EY108" s="200">
        <f t="shared" si="1071"/>
        <v>0</v>
      </c>
      <c r="EZ108" s="201">
        <f t="shared" ca="1" si="1072"/>
        <v>0</v>
      </c>
      <c r="FA108" s="200">
        <f t="shared" si="1073"/>
        <v>0</v>
      </c>
      <c r="FB108" s="201" cm="1">
        <f t="array" ref="FB108">IF(LEFT($AG108,3)="Res",IF(OR($DQ108&gt;External_Threshold,$DG108&gt;0),1*Uplift*AWE*(External),0),0)</f>
        <v>15481.186685962373</v>
      </c>
      <c r="FC108" s="200">
        <f t="shared" si="1074"/>
        <v>1</v>
      </c>
      <c r="FD108" s="201">
        <f t="shared" si="1075"/>
        <v>0</v>
      </c>
      <c r="FE108" s="203">
        <f t="shared" si="1159"/>
        <v>0</v>
      </c>
      <c r="FF108" s="199">
        <f t="shared" ca="1" si="1076"/>
        <v>0</v>
      </c>
      <c r="FG108" s="200">
        <f t="shared" si="1077"/>
        <v>0</v>
      </c>
      <c r="FH108" s="201">
        <f t="shared" ca="1" si="1078"/>
        <v>0</v>
      </c>
      <c r="FI108" s="200">
        <f t="shared" si="1079"/>
        <v>0</v>
      </c>
      <c r="FJ108" s="201" cm="1">
        <f t="array" ref="FJ108">IF(LEFT($AG108,3)="Res",IF(OR($DR108&gt;External_Threshold,$DH108&gt;0),1*Uplift*AWE*(External),0),0)</f>
        <v>0</v>
      </c>
      <c r="FK108" s="200">
        <f t="shared" si="1080"/>
        <v>1</v>
      </c>
      <c r="FL108" s="201">
        <f t="shared" si="1081"/>
        <v>0</v>
      </c>
      <c r="FM108" s="203">
        <f t="shared" si="1160"/>
        <v>0</v>
      </c>
      <c r="FN108" s="199">
        <f t="shared" ca="1" si="1082"/>
        <v>0</v>
      </c>
      <c r="FO108" s="200">
        <f t="shared" si="1083"/>
        <v>0</v>
      </c>
      <c r="FP108" s="201">
        <f t="shared" ca="1" si="1084"/>
        <v>0</v>
      </c>
      <c r="FQ108" s="200">
        <f t="shared" si="1085"/>
        <v>0</v>
      </c>
      <c r="FR108" s="201" cm="1">
        <f t="array" ref="FR108">IF(LEFT($AG108,3)="Res",IF(OR($DS108&gt;External_Threshold,$DI108&gt;0),1*Uplift*AWE*(External),0),0)</f>
        <v>0</v>
      </c>
      <c r="FS108" s="200">
        <f t="shared" si="1086"/>
        <v>0</v>
      </c>
      <c r="FT108" s="201">
        <f t="shared" si="1087"/>
        <v>0</v>
      </c>
      <c r="FU108" s="203">
        <f t="shared" si="1161"/>
        <v>0</v>
      </c>
      <c r="FV108" s="199">
        <f t="shared" ca="1" si="1088"/>
        <v>0</v>
      </c>
      <c r="FW108" s="200">
        <f t="shared" si="1089"/>
        <v>0</v>
      </c>
      <c r="FX108" s="201">
        <f t="shared" ca="1" si="1090"/>
        <v>0</v>
      </c>
      <c r="FY108" s="200">
        <f t="shared" si="1091"/>
        <v>0</v>
      </c>
      <c r="FZ108" s="201" cm="1">
        <f t="array" ref="FZ108">IF(LEFT($AG108,3)="Res",IF(OR($DT108&gt;External_Threshold,$DJ108&gt;0),1*Uplift*AWE*(External),0),0)</f>
        <v>0</v>
      </c>
      <c r="GA108" s="200">
        <f t="shared" si="1092"/>
        <v>0</v>
      </c>
      <c r="GB108" s="201">
        <f t="shared" si="1093"/>
        <v>0</v>
      </c>
      <c r="GC108" s="203">
        <f t="shared" si="1162"/>
        <v>0</v>
      </c>
      <c r="GD108" s="199">
        <f t="shared" ca="1" si="1094"/>
        <v>0</v>
      </c>
      <c r="GE108" s="200">
        <f t="shared" si="1095"/>
        <v>0</v>
      </c>
      <c r="GF108" s="201">
        <f t="shared" ca="1" si="1096"/>
        <v>0</v>
      </c>
      <c r="GG108" s="200">
        <f t="shared" si="1097"/>
        <v>0</v>
      </c>
      <c r="GH108" s="201" cm="1">
        <f t="array" ref="GH108">IF(LEFT($AG108,3)="Res",IF(OR($DU108&gt;External_Threshold,$DK108&gt;0),1*Uplift*AWE*(External),0),0)</f>
        <v>0</v>
      </c>
      <c r="GI108" s="200">
        <f t="shared" si="1098"/>
        <v>0</v>
      </c>
      <c r="GJ108" s="201">
        <f t="shared" si="1099"/>
        <v>0</v>
      </c>
      <c r="GK108" s="203">
        <f t="shared" si="1163"/>
        <v>0</v>
      </c>
      <c r="GL108" s="199">
        <f t="shared" ca="1" si="1100"/>
        <v>0</v>
      </c>
      <c r="GM108" s="200">
        <f t="shared" si="1101"/>
        <v>0</v>
      </c>
      <c r="GN108" s="201">
        <f t="shared" ca="1" si="1102"/>
        <v>0</v>
      </c>
      <c r="GO108" s="200">
        <f t="shared" si="1103"/>
        <v>0</v>
      </c>
      <c r="GP108" s="201" cm="1">
        <f t="array" ref="GP108">IF(LEFT($AG108,3)="Res",IF(OR($DV108&gt;External_Threshold,$DL108&gt;0),1*Uplift*AWE*(External),0),0)</f>
        <v>0</v>
      </c>
      <c r="GQ108" s="200">
        <f t="shared" si="1104"/>
        <v>0</v>
      </c>
      <c r="GR108" s="201">
        <f t="shared" si="1105"/>
        <v>0</v>
      </c>
      <c r="GS108" s="203">
        <f t="shared" si="1164"/>
        <v>0</v>
      </c>
      <c r="GT108" s="199">
        <f t="shared" ca="1" si="1106"/>
        <v>0</v>
      </c>
      <c r="GU108" s="200">
        <f t="shared" si="1107"/>
        <v>0</v>
      </c>
      <c r="GV108" s="201">
        <f t="shared" ca="1" si="1108"/>
        <v>0</v>
      </c>
      <c r="GW108" s="200">
        <f t="shared" si="1109"/>
        <v>0</v>
      </c>
      <c r="GX108" s="201" cm="1">
        <f t="array" ref="GX108">IF(LEFT($AG108,3)="Res",IF(OR($DW108&gt;External_Threshold,$DM108&gt;0),1*Uplift*AWE*(External),0),0)</f>
        <v>0</v>
      </c>
      <c r="GY108" s="200">
        <f t="shared" si="1110"/>
        <v>0</v>
      </c>
      <c r="GZ108" s="201">
        <f t="shared" si="1111"/>
        <v>0</v>
      </c>
      <c r="HA108" s="203">
        <f t="shared" si="1165"/>
        <v>0</v>
      </c>
      <c r="HB108" s="54"/>
      <c r="HC108" s="54"/>
      <c r="HD108" s="54"/>
      <c r="HE108" s="54"/>
      <c r="HF108" s="54"/>
      <c r="HG108" s="201">
        <f t="shared" ca="1" si="1166"/>
        <v>286793.84331384377</v>
      </c>
      <c r="HH108" s="201">
        <f t="shared" ca="1" si="1167"/>
        <v>198778.85180147036</v>
      </c>
      <c r="HI108" s="201">
        <f t="shared" ca="1" si="1168"/>
        <v>155566.06498576989</v>
      </c>
      <c r="HJ108" s="201">
        <f t="shared" ca="1" si="1169"/>
        <v>19227.633863965268</v>
      </c>
      <c r="HK108" s="201">
        <f t="shared" ca="1" si="1170"/>
        <v>0</v>
      </c>
      <c r="HL108" s="201">
        <f t="shared" ca="1" si="1171"/>
        <v>0</v>
      </c>
      <c r="HM108" s="201">
        <f t="shared" ca="1" si="1172"/>
        <v>0</v>
      </c>
      <c r="HN108" s="201">
        <f t="shared" ca="1" si="1173"/>
        <v>0</v>
      </c>
      <c r="HO108" s="201">
        <f t="shared" ca="1" si="1174"/>
        <v>0</v>
      </c>
      <c r="HP108" s="201">
        <f t="shared" ca="1" si="1175"/>
        <v>0</v>
      </c>
      <c r="HQ108" s="54"/>
    </row>
    <row r="109" spans="1:225" x14ac:dyDescent="0.3">
      <c r="A109" s="513">
        <v>91</v>
      </c>
      <c r="B109" s="514" t="s">
        <v>514</v>
      </c>
      <c r="C109" s="514" t="s">
        <v>390</v>
      </c>
      <c r="D109" s="514" t="s">
        <v>390</v>
      </c>
      <c r="E109" s="513">
        <v>1</v>
      </c>
      <c r="F109" s="515">
        <v>5.82</v>
      </c>
      <c r="G109" s="515">
        <v>5.48</v>
      </c>
      <c r="H109" s="513">
        <v>2</v>
      </c>
      <c r="I109" s="517">
        <v>1</v>
      </c>
      <c r="J109" s="518" t="s">
        <v>295</v>
      </c>
      <c r="K109" s="513">
        <f t="shared" si="1044"/>
        <v>220</v>
      </c>
      <c r="L109" s="519">
        <v>9.4545454545454533</v>
      </c>
      <c r="M109" s="519">
        <v>6.6499999999999995</v>
      </c>
      <c r="N109" s="519">
        <v>6.35</v>
      </c>
      <c r="O109" s="519">
        <v>6.05</v>
      </c>
      <c r="P109" s="519">
        <v>5.55</v>
      </c>
      <c r="Q109" s="519">
        <v>5.03</v>
      </c>
      <c r="R109" s="519">
        <v>4.2300000000000004</v>
      </c>
      <c r="S109" s="519">
        <v>0</v>
      </c>
      <c r="T109" s="519">
        <v>0</v>
      </c>
      <c r="U109" s="519">
        <v>0</v>
      </c>
      <c r="V109" s="536"/>
      <c r="W109" s="536"/>
      <c r="X109" s="536"/>
      <c r="Y109" s="536"/>
      <c r="Z109" s="536"/>
      <c r="AA109" s="536"/>
      <c r="AB109" s="536"/>
      <c r="AC109" s="536"/>
      <c r="AD109" s="536"/>
      <c r="AE109" s="536"/>
      <c r="AF109" s="54"/>
      <c r="AG109" s="204" t="str">
        <f t="shared" si="1253"/>
        <v>Res1</v>
      </c>
      <c r="AH109" s="204">
        <f t="shared" si="1112"/>
        <v>6</v>
      </c>
      <c r="AI109" s="204">
        <f t="shared" si="1045"/>
        <v>1</v>
      </c>
      <c r="AJ109" s="54"/>
      <c r="AK109" s="74">
        <f>IFERROR(IF(H109&gt;4,0,AI109*Inputs!$C$55),0)</f>
        <v>2.6</v>
      </c>
      <c r="AL109" s="81">
        <f>IFERROR(Inputs!$C$73,0)</f>
        <v>5</v>
      </c>
      <c r="AM109" s="211">
        <f>IFERROR(Inputs!$C$74,0)</f>
        <v>0.24299999999999999</v>
      </c>
      <c r="AN109" s="446">
        <f>IFERROR(HLOOKUP(HLOOKUP(AN$17,$V$18:$AE109,COUNTA($AK$18:$AK109),FALSE),Inputs!$B$58:$H$59,2,FALSE),0)</f>
        <v>0</v>
      </c>
      <c r="AO109" s="447">
        <f t="shared" si="1113"/>
        <v>0</v>
      </c>
      <c r="AP109" s="447">
        <f t="shared" si="1114"/>
        <v>0</v>
      </c>
      <c r="AQ109" s="446">
        <f>IFERROR(HLOOKUP(HLOOKUP(AQ$17,$V$18:$AE109,COUNTA($AK$18:$AK109),FALSE),Inputs!$B$58:$H$59,2,FALSE),0)</f>
        <v>0</v>
      </c>
      <c r="AR109" s="447">
        <f t="shared" ref="AR109" si="1398">2*$AK109*AQ109*$AL109/100*$AM109</f>
        <v>0</v>
      </c>
      <c r="AS109" s="447">
        <f t="shared" si="1116"/>
        <v>0</v>
      </c>
      <c r="AT109" s="446">
        <f>IFERROR(HLOOKUP(HLOOKUP(AT$17,$V$18:$AE109,COUNTA($AK$18:$AK109),FALSE),Inputs!$B$58:$H$59,2,FALSE),0)</f>
        <v>0</v>
      </c>
      <c r="AU109" s="447">
        <f t="shared" ref="AU109" si="1399">2*$AK109*AT109*$AL109/100*$AM109</f>
        <v>0</v>
      </c>
      <c r="AV109" s="447">
        <f t="shared" si="1118"/>
        <v>0</v>
      </c>
      <c r="AW109" s="446">
        <f>IFERROR(HLOOKUP(HLOOKUP(AW$17,$V$18:$AE109,COUNTA($AK$18:$AK109),FALSE),Inputs!$B$58:$H$59,2,FALSE),0)</f>
        <v>0</v>
      </c>
      <c r="AX109" s="447">
        <f t="shared" ref="AX109" si="1400">2*$AK109*AW109*$AL109/100*$AM109</f>
        <v>0</v>
      </c>
      <c r="AY109" s="447">
        <f t="shared" si="1120"/>
        <v>0</v>
      </c>
      <c r="AZ109" s="446">
        <f>IFERROR(HLOOKUP(HLOOKUP(AZ$17,$V$18:$AE109,COUNTA($AK$18:$AK109),FALSE),Inputs!$B$58:$H$59,2,FALSE),0)</f>
        <v>0</v>
      </c>
      <c r="BA109" s="447">
        <f t="shared" ref="BA109" si="1401">2*$AK109*AZ109*$AL109/100*$AM109</f>
        <v>0</v>
      </c>
      <c r="BB109" s="447">
        <f t="shared" si="1122"/>
        <v>0</v>
      </c>
      <c r="BC109" s="446">
        <f>IFERROR(HLOOKUP(HLOOKUP(BC$17,$V$18:$AE109,COUNTA($AK$18:$AK109),FALSE),Inputs!$B$58:$H$59,2,FALSE),0)</f>
        <v>0</v>
      </c>
      <c r="BD109" s="447">
        <f t="shared" ref="BD109" si="1402">2*$AK109*BC109*$AL109/100*$AM109</f>
        <v>0</v>
      </c>
      <c r="BE109" s="447">
        <f t="shared" si="1124"/>
        <v>0</v>
      </c>
      <c r="BF109" s="446">
        <f>IFERROR(HLOOKUP(HLOOKUP(BF$17,$V$18:$AE109,COUNTA($AK$18:$AK109),FALSE),Inputs!$B$58:$H$59,2,FALSE),0)</f>
        <v>0</v>
      </c>
      <c r="BG109" s="447">
        <f t="shared" ref="BG109" si="1403">2*$AK109*BF109*$AL109/100*$AM109</f>
        <v>0</v>
      </c>
      <c r="BH109" s="447">
        <f t="shared" si="1126"/>
        <v>0</v>
      </c>
      <c r="BI109" s="446">
        <f>IFERROR(HLOOKUP(HLOOKUP(BI$17,$V$18:$AE109,COUNTA($AK$18:$AK109),FALSE),Inputs!$B$58:$H$59,2,FALSE),0)</f>
        <v>0</v>
      </c>
      <c r="BJ109" s="447">
        <f t="shared" ref="BJ109" si="1404">2*$AK109*BI109*$AL109/100*$AM109</f>
        <v>0</v>
      </c>
      <c r="BK109" s="447">
        <f t="shared" si="1128"/>
        <v>0</v>
      </c>
      <c r="BL109" s="446">
        <f>IFERROR(HLOOKUP(HLOOKUP(BL$17,$V$18:$AE109,COUNTA($AK$18:$AK109),FALSE),Inputs!$B$58:$H$59,2,FALSE),0)</f>
        <v>0</v>
      </c>
      <c r="BM109" s="447">
        <f t="shared" ref="BM109" si="1405">2*$AK109*BL109*$AL109/100*$AM109</f>
        <v>0</v>
      </c>
      <c r="BN109" s="447">
        <f t="shared" si="1130"/>
        <v>0</v>
      </c>
      <c r="BO109" s="446">
        <f>IFERROR(HLOOKUP(HLOOKUP(BO$17,$V$18:$AE109,COUNTA($AK$18:$AK109),FALSE),Inputs!$B$58:$H$59,2,FALSE),0)</f>
        <v>0</v>
      </c>
      <c r="BP109" s="447">
        <f t="shared" ref="BP109" si="1406">2*$AK109*BO109*$AL109/100*$AM109</f>
        <v>0</v>
      </c>
      <c r="BQ109" s="447">
        <f t="shared" si="1132"/>
        <v>0</v>
      </c>
      <c r="BR109" s="54"/>
      <c r="BS109" s="103">
        <f t="shared" ca="1" si="1203"/>
        <v>1762.1828681500242</v>
      </c>
      <c r="BT109" s="103">
        <f t="shared" ca="1" si="1204"/>
        <v>1141.9542197352753</v>
      </c>
      <c r="BU109" s="103">
        <f t="shared" si="1205"/>
        <v>232.06298842257598</v>
      </c>
      <c r="BV109" s="103">
        <f t="shared" si="1206"/>
        <v>0</v>
      </c>
      <c r="BW109" s="152">
        <f t="shared" ca="1" si="1207"/>
        <v>3136.2000763078754</v>
      </c>
      <c r="BX109" s="441"/>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188">
        <f t="shared" si="1133"/>
        <v>3.634545454545453</v>
      </c>
      <c r="DE109" s="188">
        <f t="shared" si="1134"/>
        <v>0.82999999999999918</v>
      </c>
      <c r="DF109" s="188">
        <f t="shared" si="1135"/>
        <v>0.52999999999999936</v>
      </c>
      <c r="DG109" s="188">
        <f t="shared" si="1136"/>
        <v>0.22999999999999954</v>
      </c>
      <c r="DH109" s="188">
        <f t="shared" si="1137"/>
        <v>-0.27000000000000046</v>
      </c>
      <c r="DI109" s="188">
        <f t="shared" si="1138"/>
        <v>-0.3</v>
      </c>
      <c r="DJ109" s="188">
        <f t="shared" si="1139"/>
        <v>-0.3</v>
      </c>
      <c r="DK109" s="188">
        <f t="shared" si="1140"/>
        <v>-0.3</v>
      </c>
      <c r="DL109" s="188">
        <f t="shared" si="1141"/>
        <v>-0.3</v>
      </c>
      <c r="DM109" s="188">
        <f t="shared" si="1142"/>
        <v>-0.3</v>
      </c>
      <c r="DN109" s="189">
        <f t="shared" si="1143"/>
        <v>3.9745454545454528</v>
      </c>
      <c r="DO109" s="189">
        <f t="shared" si="1144"/>
        <v>1.169999999999999</v>
      </c>
      <c r="DP109" s="189">
        <f t="shared" si="1145"/>
        <v>0.86999999999999922</v>
      </c>
      <c r="DQ109" s="189">
        <f t="shared" si="1146"/>
        <v>0.5699999999999994</v>
      </c>
      <c r="DR109" s="189">
        <f t="shared" si="1147"/>
        <v>6.9999999999999396E-2</v>
      </c>
      <c r="DS109" s="189">
        <f t="shared" si="1148"/>
        <v>0</v>
      </c>
      <c r="DT109" s="189">
        <f t="shared" si="1149"/>
        <v>0</v>
      </c>
      <c r="DU109" s="189">
        <f t="shared" si="1150"/>
        <v>0</v>
      </c>
      <c r="DV109" s="189">
        <f t="shared" si="1151"/>
        <v>0</v>
      </c>
      <c r="DW109" s="189">
        <f t="shared" si="1152"/>
        <v>0</v>
      </c>
      <c r="DX109" s="54"/>
      <c r="DY109" s="54"/>
      <c r="DZ109" s="199">
        <f t="shared" ca="1" si="1055"/>
        <v>209346.9271587072</v>
      </c>
      <c r="EA109" s="200">
        <f t="shared" si="1153"/>
        <v>1</v>
      </c>
      <c r="EB109" s="201">
        <f t="shared" ca="1" si="1056"/>
        <v>129139.423223123</v>
      </c>
      <c r="EC109" s="200">
        <f t="shared" si="1154"/>
        <v>1</v>
      </c>
      <c r="ED109" s="201" cm="1">
        <f t="array" ref="ED109">IF(LEFT($AG109,3)="Res",IF(OR($DN109&gt;External_Threshold,$DD109&gt;0),1*Uplift*AWE*(External),0),0)</f>
        <v>15481.186685962373</v>
      </c>
      <c r="EE109" s="200">
        <f t="shared" si="1155"/>
        <v>1</v>
      </c>
      <c r="EF109" s="201">
        <f t="shared" si="1057"/>
        <v>0</v>
      </c>
      <c r="EG109" s="203">
        <f t="shared" si="1156"/>
        <v>0</v>
      </c>
      <c r="EH109" s="199">
        <f t="shared" ca="1" si="1058"/>
        <v>116139.86251808972</v>
      </c>
      <c r="EI109" s="200">
        <f t="shared" si="1059"/>
        <v>1</v>
      </c>
      <c r="EJ109" s="201">
        <f t="shared" ca="1" si="1060"/>
        <v>99407.217176483216</v>
      </c>
      <c r="EK109" s="200">
        <f t="shared" si="1061"/>
        <v>1</v>
      </c>
      <c r="EL109" s="201" cm="1">
        <f t="array" ref="EL109">IF(LEFT($AG109,3)="Res",IF(OR($DO109&gt;External_Threshold,$DE109&gt;0),1*Uplift*AWE*(External),0),0)</f>
        <v>15481.186685962373</v>
      </c>
      <c r="EM109" s="200">
        <f t="shared" si="1062"/>
        <v>1</v>
      </c>
      <c r="EN109" s="201">
        <f t="shared" si="1063"/>
        <v>0</v>
      </c>
      <c r="EO109" s="203">
        <f t="shared" si="1157"/>
        <v>0</v>
      </c>
      <c r="EP109" s="199">
        <f t="shared" ca="1" si="1064"/>
        <v>110009.31259044864</v>
      </c>
      <c r="EQ109" s="200">
        <f t="shared" si="1065"/>
        <v>1</v>
      </c>
      <c r="ER109" s="201">
        <f t="shared" ca="1" si="1066"/>
        <v>80922.605027321159</v>
      </c>
      <c r="ES109" s="200">
        <f t="shared" si="1067"/>
        <v>1</v>
      </c>
      <c r="ET109" s="201" cm="1">
        <f t="array" ref="ET109">IF(LEFT($AG109,3)="Res",IF(OR($DP109&gt;External_Threshold,$DF109&gt;0),1*Uplift*AWE*(External),0),0)</f>
        <v>15481.186685962373</v>
      </c>
      <c r="EU109" s="200">
        <f t="shared" si="1068"/>
        <v>1</v>
      </c>
      <c r="EV109" s="201">
        <f t="shared" si="1069"/>
        <v>0</v>
      </c>
      <c r="EW109" s="203">
        <f t="shared" si="1158"/>
        <v>0</v>
      </c>
      <c r="EX109" s="199">
        <f t="shared" ca="1" si="1070"/>
        <v>106546.68716835506</v>
      </c>
      <c r="EY109" s="200">
        <f t="shared" si="1071"/>
        <v>1</v>
      </c>
      <c r="EZ109" s="201">
        <f t="shared" ca="1" si="1072"/>
        <v>58899.875555154351</v>
      </c>
      <c r="FA109" s="200">
        <f t="shared" si="1073"/>
        <v>1</v>
      </c>
      <c r="FB109" s="201" cm="1">
        <f t="array" ref="FB109">IF(LEFT($AG109,3)="Res",IF(OR($DQ109&gt;External_Threshold,$DG109&gt;0),1*Uplift*AWE*(External),0),0)</f>
        <v>15481.186685962373</v>
      </c>
      <c r="FC109" s="200">
        <f t="shared" si="1074"/>
        <v>1</v>
      </c>
      <c r="FD109" s="201">
        <f t="shared" si="1075"/>
        <v>0</v>
      </c>
      <c r="FE109" s="203">
        <f t="shared" si="1159"/>
        <v>0</v>
      </c>
      <c r="FF109" s="199">
        <f t="shared" ca="1" si="1076"/>
        <v>1248.8157260009646</v>
      </c>
      <c r="FG109" s="200">
        <f t="shared" si="1077"/>
        <v>0</v>
      </c>
      <c r="FH109" s="201">
        <f t="shared" ca="1" si="1078"/>
        <v>0</v>
      </c>
      <c r="FI109" s="200">
        <f t="shared" si="1079"/>
        <v>0</v>
      </c>
      <c r="FJ109" s="201" cm="1">
        <f t="array" ref="FJ109">IF(LEFT($AG109,3)="Res",IF(OR($DR109&gt;External_Threshold,$DH109&gt;0),1*Uplift*AWE*(External),0),0)</f>
        <v>0</v>
      </c>
      <c r="FK109" s="200">
        <f t="shared" si="1080"/>
        <v>1</v>
      </c>
      <c r="FL109" s="201">
        <f t="shared" si="1081"/>
        <v>0</v>
      </c>
      <c r="FM109" s="203">
        <f t="shared" si="1160"/>
        <v>0</v>
      </c>
      <c r="FN109" s="199">
        <f t="shared" ca="1" si="1082"/>
        <v>0</v>
      </c>
      <c r="FO109" s="200">
        <f t="shared" si="1083"/>
        <v>0</v>
      </c>
      <c r="FP109" s="201">
        <f t="shared" ca="1" si="1084"/>
        <v>0</v>
      </c>
      <c r="FQ109" s="200">
        <f t="shared" si="1085"/>
        <v>0</v>
      </c>
      <c r="FR109" s="201" cm="1">
        <f t="array" ref="FR109">IF(LEFT($AG109,3)="Res",IF(OR($DS109&gt;External_Threshold,$DI109&gt;0),1*Uplift*AWE*(External),0),0)</f>
        <v>0</v>
      </c>
      <c r="FS109" s="200">
        <f t="shared" si="1086"/>
        <v>0</v>
      </c>
      <c r="FT109" s="201">
        <f t="shared" si="1087"/>
        <v>0</v>
      </c>
      <c r="FU109" s="203">
        <f t="shared" si="1161"/>
        <v>0</v>
      </c>
      <c r="FV109" s="199">
        <f t="shared" ca="1" si="1088"/>
        <v>0</v>
      </c>
      <c r="FW109" s="200">
        <f t="shared" si="1089"/>
        <v>0</v>
      </c>
      <c r="FX109" s="201">
        <f t="shared" ca="1" si="1090"/>
        <v>0</v>
      </c>
      <c r="FY109" s="200">
        <f t="shared" si="1091"/>
        <v>0</v>
      </c>
      <c r="FZ109" s="201" cm="1">
        <f t="array" ref="FZ109">IF(LEFT($AG109,3)="Res",IF(OR($DT109&gt;External_Threshold,$DJ109&gt;0),1*Uplift*AWE*(External),0),0)</f>
        <v>0</v>
      </c>
      <c r="GA109" s="200">
        <f t="shared" si="1092"/>
        <v>0</v>
      </c>
      <c r="GB109" s="201">
        <f t="shared" si="1093"/>
        <v>0</v>
      </c>
      <c r="GC109" s="203">
        <f t="shared" si="1162"/>
        <v>0</v>
      </c>
      <c r="GD109" s="199">
        <f t="shared" ca="1" si="1094"/>
        <v>0</v>
      </c>
      <c r="GE109" s="200">
        <f t="shared" si="1095"/>
        <v>0</v>
      </c>
      <c r="GF109" s="201">
        <f t="shared" ca="1" si="1096"/>
        <v>0</v>
      </c>
      <c r="GG109" s="200">
        <f t="shared" si="1097"/>
        <v>0</v>
      </c>
      <c r="GH109" s="201" cm="1">
        <f t="array" ref="GH109">IF(LEFT($AG109,3)="Res",IF(OR($DU109&gt;External_Threshold,$DK109&gt;0),1*Uplift*AWE*(External),0),0)</f>
        <v>0</v>
      </c>
      <c r="GI109" s="200">
        <f t="shared" si="1098"/>
        <v>0</v>
      </c>
      <c r="GJ109" s="201">
        <f t="shared" si="1099"/>
        <v>0</v>
      </c>
      <c r="GK109" s="203">
        <f t="shared" si="1163"/>
        <v>0</v>
      </c>
      <c r="GL109" s="199">
        <f t="shared" ca="1" si="1100"/>
        <v>0</v>
      </c>
      <c r="GM109" s="200">
        <f t="shared" si="1101"/>
        <v>0</v>
      </c>
      <c r="GN109" s="201">
        <f t="shared" ca="1" si="1102"/>
        <v>0</v>
      </c>
      <c r="GO109" s="200">
        <f t="shared" si="1103"/>
        <v>0</v>
      </c>
      <c r="GP109" s="201" cm="1">
        <f t="array" ref="GP109">IF(LEFT($AG109,3)="Res",IF(OR($DV109&gt;External_Threshold,$DL109&gt;0),1*Uplift*AWE*(External),0),0)</f>
        <v>0</v>
      </c>
      <c r="GQ109" s="200">
        <f t="shared" si="1104"/>
        <v>0</v>
      </c>
      <c r="GR109" s="201">
        <f t="shared" si="1105"/>
        <v>0</v>
      </c>
      <c r="GS109" s="203">
        <f t="shared" si="1164"/>
        <v>0</v>
      </c>
      <c r="GT109" s="199">
        <f t="shared" ca="1" si="1106"/>
        <v>0</v>
      </c>
      <c r="GU109" s="200">
        <f t="shared" si="1107"/>
        <v>0</v>
      </c>
      <c r="GV109" s="201">
        <f t="shared" ca="1" si="1108"/>
        <v>0</v>
      </c>
      <c r="GW109" s="200">
        <f t="shared" si="1109"/>
        <v>0</v>
      </c>
      <c r="GX109" s="201" cm="1">
        <f t="array" ref="GX109">IF(LEFT($AG109,3)="Res",IF(OR($DW109&gt;External_Threshold,$DM109&gt;0),1*Uplift*AWE*(External),0),0)</f>
        <v>0</v>
      </c>
      <c r="GY109" s="200">
        <f t="shared" si="1110"/>
        <v>0</v>
      </c>
      <c r="GZ109" s="201">
        <f t="shared" si="1111"/>
        <v>0</v>
      </c>
      <c r="HA109" s="203">
        <f t="shared" si="1165"/>
        <v>0</v>
      </c>
      <c r="HB109" s="54"/>
      <c r="HC109" s="54"/>
      <c r="HD109" s="54"/>
      <c r="HE109" s="54"/>
      <c r="HF109" s="54"/>
      <c r="HG109" s="201">
        <f t="shared" ca="1" si="1166"/>
        <v>353967.53706779255</v>
      </c>
      <c r="HH109" s="201">
        <f t="shared" ca="1" si="1167"/>
        <v>231028.26638053532</v>
      </c>
      <c r="HI109" s="201">
        <f t="shared" ca="1" si="1168"/>
        <v>206413.10430373217</v>
      </c>
      <c r="HJ109" s="201">
        <f t="shared" ca="1" si="1169"/>
        <v>180927.74940947178</v>
      </c>
      <c r="HK109" s="201">
        <f t="shared" ca="1" si="1170"/>
        <v>1248.8157260009646</v>
      </c>
      <c r="HL109" s="201">
        <f t="shared" ca="1" si="1171"/>
        <v>0</v>
      </c>
      <c r="HM109" s="201">
        <f t="shared" ca="1" si="1172"/>
        <v>0</v>
      </c>
      <c r="HN109" s="201">
        <f t="shared" ca="1" si="1173"/>
        <v>0</v>
      </c>
      <c r="HO109" s="201">
        <f t="shared" ca="1" si="1174"/>
        <v>0</v>
      </c>
      <c r="HP109" s="201">
        <f t="shared" ca="1" si="1175"/>
        <v>0</v>
      </c>
      <c r="HQ109" s="54"/>
    </row>
    <row r="110" spans="1:225" x14ac:dyDescent="0.3">
      <c r="A110" s="513">
        <v>92</v>
      </c>
      <c r="B110" s="514" t="s">
        <v>515</v>
      </c>
      <c r="C110" s="514" t="s">
        <v>390</v>
      </c>
      <c r="D110" s="514" t="s">
        <v>390</v>
      </c>
      <c r="E110" s="513">
        <v>1</v>
      </c>
      <c r="F110" s="515">
        <v>6.46</v>
      </c>
      <c r="G110" s="515">
        <v>4.68</v>
      </c>
      <c r="H110" s="513">
        <v>1</v>
      </c>
      <c r="I110" s="517">
        <v>1</v>
      </c>
      <c r="J110" s="518" t="s">
        <v>137</v>
      </c>
      <c r="K110" s="513">
        <f t="shared" si="1044"/>
        <v>160</v>
      </c>
      <c r="L110" s="519">
        <v>9.4545454545454533</v>
      </c>
      <c r="M110" s="519">
        <v>6.6499999999999995</v>
      </c>
      <c r="N110" s="519">
        <v>6.35</v>
      </c>
      <c r="O110" s="519">
        <v>6.05</v>
      </c>
      <c r="P110" s="519">
        <v>5.55</v>
      </c>
      <c r="Q110" s="519">
        <v>5.03</v>
      </c>
      <c r="R110" s="519">
        <v>4.2300000000000004</v>
      </c>
      <c r="S110" s="519">
        <v>0</v>
      </c>
      <c r="T110" s="519">
        <v>0</v>
      </c>
      <c r="U110" s="519">
        <v>0</v>
      </c>
      <c r="V110" s="536"/>
      <c r="W110" s="536"/>
      <c r="X110" s="536"/>
      <c r="Y110" s="536"/>
      <c r="Z110" s="536"/>
      <c r="AA110" s="536"/>
      <c r="AB110" s="536"/>
      <c r="AC110" s="536"/>
      <c r="AD110" s="536"/>
      <c r="AE110" s="536"/>
      <c r="AF110" s="54"/>
      <c r="AG110" s="204" t="str">
        <f t="shared" si="1253"/>
        <v>Res1</v>
      </c>
      <c r="AH110" s="204">
        <f t="shared" si="1112"/>
        <v>7</v>
      </c>
      <c r="AI110" s="204">
        <f t="shared" si="1045"/>
        <v>1</v>
      </c>
      <c r="AJ110" s="54"/>
      <c r="AK110" s="74">
        <f>IFERROR(IF(H110&gt;4,0,AI110*Inputs!$C$55),0)</f>
        <v>2.6</v>
      </c>
      <c r="AL110" s="81">
        <f>IFERROR(Inputs!$C$73,0)</f>
        <v>5</v>
      </c>
      <c r="AM110" s="211">
        <f>IFERROR(Inputs!$C$74,0)</f>
        <v>0.24299999999999999</v>
      </c>
      <c r="AN110" s="446">
        <f>IFERROR(HLOOKUP(HLOOKUP(AN$17,$V$18:$AE110,COUNTA($AK$18:$AK110),FALSE),Inputs!$B$58:$H$59,2,FALSE),0)</f>
        <v>0</v>
      </c>
      <c r="AO110" s="447">
        <f t="shared" si="1113"/>
        <v>0</v>
      </c>
      <c r="AP110" s="447">
        <f t="shared" si="1114"/>
        <v>0</v>
      </c>
      <c r="AQ110" s="446">
        <f>IFERROR(HLOOKUP(HLOOKUP(AQ$17,$V$18:$AE110,COUNTA($AK$18:$AK110),FALSE),Inputs!$B$58:$H$59,2,FALSE),0)</f>
        <v>0</v>
      </c>
      <c r="AR110" s="447">
        <f t="shared" ref="AR110" si="1407">2*$AK110*AQ110*$AL110/100*$AM110</f>
        <v>0</v>
      </c>
      <c r="AS110" s="447">
        <f t="shared" si="1116"/>
        <v>0</v>
      </c>
      <c r="AT110" s="446">
        <f>IFERROR(HLOOKUP(HLOOKUP(AT$17,$V$18:$AE110,COUNTA($AK$18:$AK110),FALSE),Inputs!$B$58:$H$59,2,FALSE),0)</f>
        <v>0</v>
      </c>
      <c r="AU110" s="447">
        <f t="shared" ref="AU110" si="1408">2*$AK110*AT110*$AL110/100*$AM110</f>
        <v>0</v>
      </c>
      <c r="AV110" s="447">
        <f t="shared" si="1118"/>
        <v>0</v>
      </c>
      <c r="AW110" s="446">
        <f>IFERROR(HLOOKUP(HLOOKUP(AW$17,$V$18:$AE110,COUNTA($AK$18:$AK110),FALSE),Inputs!$B$58:$H$59,2,FALSE),0)</f>
        <v>0</v>
      </c>
      <c r="AX110" s="447">
        <f t="shared" ref="AX110" si="1409">2*$AK110*AW110*$AL110/100*$AM110</f>
        <v>0</v>
      </c>
      <c r="AY110" s="447">
        <f t="shared" si="1120"/>
        <v>0</v>
      </c>
      <c r="AZ110" s="446">
        <f>IFERROR(HLOOKUP(HLOOKUP(AZ$17,$V$18:$AE110,COUNTA($AK$18:$AK110),FALSE),Inputs!$B$58:$H$59,2,FALSE),0)</f>
        <v>0</v>
      </c>
      <c r="BA110" s="447">
        <f t="shared" ref="BA110" si="1410">2*$AK110*AZ110*$AL110/100*$AM110</f>
        <v>0</v>
      </c>
      <c r="BB110" s="447">
        <f t="shared" si="1122"/>
        <v>0</v>
      </c>
      <c r="BC110" s="446">
        <f>IFERROR(HLOOKUP(HLOOKUP(BC$17,$V$18:$AE110,COUNTA($AK$18:$AK110),FALSE),Inputs!$B$58:$H$59,2,FALSE),0)</f>
        <v>0</v>
      </c>
      <c r="BD110" s="447">
        <f t="shared" ref="BD110" si="1411">2*$AK110*BC110*$AL110/100*$AM110</f>
        <v>0</v>
      </c>
      <c r="BE110" s="447">
        <f t="shared" si="1124"/>
        <v>0</v>
      </c>
      <c r="BF110" s="446">
        <f>IFERROR(HLOOKUP(HLOOKUP(BF$17,$V$18:$AE110,COUNTA($AK$18:$AK110),FALSE),Inputs!$B$58:$H$59,2,FALSE),0)</f>
        <v>0</v>
      </c>
      <c r="BG110" s="447">
        <f t="shared" ref="BG110" si="1412">2*$AK110*BF110*$AL110/100*$AM110</f>
        <v>0</v>
      </c>
      <c r="BH110" s="447">
        <f t="shared" si="1126"/>
        <v>0</v>
      </c>
      <c r="BI110" s="446">
        <f>IFERROR(HLOOKUP(HLOOKUP(BI$17,$V$18:$AE110,COUNTA($AK$18:$AK110),FALSE),Inputs!$B$58:$H$59,2,FALSE),0)</f>
        <v>0</v>
      </c>
      <c r="BJ110" s="447">
        <f t="shared" ref="BJ110" si="1413">2*$AK110*BI110*$AL110/100*$AM110</f>
        <v>0</v>
      </c>
      <c r="BK110" s="447">
        <f t="shared" si="1128"/>
        <v>0</v>
      </c>
      <c r="BL110" s="446">
        <f>IFERROR(HLOOKUP(HLOOKUP(BL$17,$V$18:$AE110,COUNTA($AK$18:$AK110),FALSE),Inputs!$B$58:$H$59,2,FALSE),0)</f>
        <v>0</v>
      </c>
      <c r="BM110" s="447">
        <f t="shared" ref="BM110" si="1414">2*$AK110*BL110*$AL110/100*$AM110</f>
        <v>0</v>
      </c>
      <c r="BN110" s="447">
        <f t="shared" si="1130"/>
        <v>0</v>
      </c>
      <c r="BO110" s="446">
        <f>IFERROR(HLOOKUP(HLOOKUP(BO$17,$V$18:$AE110,COUNTA($AK$18:$AK110),FALSE),Inputs!$B$58:$H$59,2,FALSE),0)</f>
        <v>0</v>
      </c>
      <c r="BP110" s="447">
        <f t="shared" ref="BP110" si="1415">2*$AK110*BO110*$AL110/100*$AM110</f>
        <v>0</v>
      </c>
      <c r="BQ110" s="447">
        <f t="shared" si="1132"/>
        <v>0</v>
      </c>
      <c r="BR110" s="54"/>
      <c r="BS110" s="103">
        <f t="shared" ca="1" si="1203"/>
        <v>447.35649310680981</v>
      </c>
      <c r="BT110" s="103">
        <f t="shared" ca="1" si="1204"/>
        <v>232.20228790550419</v>
      </c>
      <c r="BU110" s="103">
        <f t="shared" si="1205"/>
        <v>1160.9341895803186</v>
      </c>
      <c r="BV110" s="103">
        <f t="shared" si="1206"/>
        <v>0</v>
      </c>
      <c r="BW110" s="152">
        <f t="shared" ca="1" si="1207"/>
        <v>1840.4929705926327</v>
      </c>
      <c r="BX110" s="441"/>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188">
        <f t="shared" si="1133"/>
        <v>2.9945454545454533</v>
      </c>
      <c r="DE110" s="188">
        <f t="shared" si="1134"/>
        <v>0.1899999999999995</v>
      </c>
      <c r="DF110" s="188">
        <f t="shared" si="1135"/>
        <v>-0.11000000000000032</v>
      </c>
      <c r="DG110" s="188">
        <f t="shared" si="1136"/>
        <v>-0.3</v>
      </c>
      <c r="DH110" s="188">
        <f t="shared" si="1137"/>
        <v>-0.3</v>
      </c>
      <c r="DI110" s="188">
        <f t="shared" si="1138"/>
        <v>-0.3</v>
      </c>
      <c r="DJ110" s="188">
        <f t="shared" si="1139"/>
        <v>-0.3</v>
      </c>
      <c r="DK110" s="188">
        <f t="shared" si="1140"/>
        <v>-0.3</v>
      </c>
      <c r="DL110" s="188">
        <f t="shared" si="1141"/>
        <v>-0.3</v>
      </c>
      <c r="DM110" s="188">
        <f t="shared" si="1142"/>
        <v>-0.3</v>
      </c>
      <c r="DN110" s="189">
        <f t="shared" si="1143"/>
        <v>4.7745454545454535</v>
      </c>
      <c r="DO110" s="189">
        <f t="shared" si="1144"/>
        <v>1.9699999999999998</v>
      </c>
      <c r="DP110" s="189">
        <f t="shared" si="1145"/>
        <v>1.67</v>
      </c>
      <c r="DQ110" s="189">
        <f t="shared" si="1146"/>
        <v>1.37</v>
      </c>
      <c r="DR110" s="189">
        <f t="shared" si="1147"/>
        <v>0.87000000000000011</v>
      </c>
      <c r="DS110" s="189">
        <f t="shared" si="1148"/>
        <v>0.35000000000000053</v>
      </c>
      <c r="DT110" s="189">
        <f t="shared" si="1149"/>
        <v>0</v>
      </c>
      <c r="DU110" s="189">
        <f t="shared" si="1150"/>
        <v>0</v>
      </c>
      <c r="DV110" s="189">
        <f t="shared" si="1151"/>
        <v>0</v>
      </c>
      <c r="DW110" s="189">
        <f t="shared" si="1152"/>
        <v>0</v>
      </c>
      <c r="DX110" s="54"/>
      <c r="DY110" s="54"/>
      <c r="DZ110" s="199">
        <f t="shared" ca="1" si="1055"/>
        <v>191901.34989548157</v>
      </c>
      <c r="EA110" s="200">
        <f t="shared" si="1153"/>
        <v>1</v>
      </c>
      <c r="EB110" s="201">
        <f t="shared" ca="1" si="1056"/>
        <v>119744.47128786275</v>
      </c>
      <c r="EC110" s="200">
        <f t="shared" si="1154"/>
        <v>1</v>
      </c>
      <c r="ED110" s="201" cm="1">
        <f t="array" ref="ED110">IF(LEFT($AG110,3)="Res",IF(OR($DN110&gt;External_Threshold,$DD110&gt;0),1*Uplift*AWE*(External),0),0)</f>
        <v>15481.186685962373</v>
      </c>
      <c r="EE110" s="200">
        <f t="shared" si="1155"/>
        <v>1</v>
      </c>
      <c r="EF110" s="201">
        <f t="shared" si="1057"/>
        <v>0</v>
      </c>
      <c r="EG110" s="203">
        <f t="shared" si="1156"/>
        <v>0</v>
      </c>
      <c r="EH110" s="199">
        <f t="shared" ca="1" si="1058"/>
        <v>95430.33506190707</v>
      </c>
      <c r="EI110" s="200">
        <f t="shared" si="1059"/>
        <v>1</v>
      </c>
      <c r="EJ110" s="201">
        <f t="shared" ca="1" si="1060"/>
        <v>45313.242073779867</v>
      </c>
      <c r="EK110" s="200">
        <f t="shared" si="1061"/>
        <v>1</v>
      </c>
      <c r="EL110" s="201" cm="1">
        <f t="array" ref="EL110">IF(LEFT($AG110,3)="Res",IF(OR($DO110&gt;External_Threshold,$DE110&gt;0),1*Uplift*AWE*(External),0),0)</f>
        <v>15481.186685962373</v>
      </c>
      <c r="EM110" s="200">
        <f t="shared" si="1062"/>
        <v>1</v>
      </c>
      <c r="EN110" s="201">
        <f t="shared" si="1063"/>
        <v>0</v>
      </c>
      <c r="EO110" s="203">
        <f t="shared" si="1157"/>
        <v>0</v>
      </c>
      <c r="EP110" s="199">
        <f t="shared" ca="1" si="1064"/>
        <v>4578.9909953368706</v>
      </c>
      <c r="EQ110" s="200">
        <f t="shared" si="1065"/>
        <v>0</v>
      </c>
      <c r="ER110" s="201">
        <f t="shared" ca="1" si="1066"/>
        <v>0</v>
      </c>
      <c r="ES110" s="200">
        <f t="shared" si="1067"/>
        <v>0</v>
      </c>
      <c r="ET110" s="201" cm="1">
        <f t="array" ref="ET110">IF(LEFT($AG110,3)="Res",IF(OR($DP110&gt;External_Threshold,$DF110&gt;0),1*Uplift*AWE*(External),0),0)</f>
        <v>15481.186685962373</v>
      </c>
      <c r="EU110" s="200">
        <f t="shared" si="1068"/>
        <v>1</v>
      </c>
      <c r="EV110" s="201">
        <f t="shared" si="1069"/>
        <v>0</v>
      </c>
      <c r="EW110" s="203">
        <f t="shared" si="1158"/>
        <v>0</v>
      </c>
      <c r="EX110" s="199">
        <f t="shared" ca="1" si="1070"/>
        <v>0</v>
      </c>
      <c r="EY110" s="200">
        <f t="shared" si="1071"/>
        <v>0</v>
      </c>
      <c r="EZ110" s="201">
        <f t="shared" ca="1" si="1072"/>
        <v>0</v>
      </c>
      <c r="FA110" s="200">
        <f t="shared" si="1073"/>
        <v>0</v>
      </c>
      <c r="FB110" s="201" cm="1">
        <f t="array" ref="FB110">IF(LEFT($AG110,3)="Res",IF(OR($DQ110&gt;External_Threshold,$DG110&gt;0),1*Uplift*AWE*(External),0),0)</f>
        <v>15481.186685962373</v>
      </c>
      <c r="FC110" s="200">
        <f t="shared" si="1074"/>
        <v>1</v>
      </c>
      <c r="FD110" s="201">
        <f t="shared" si="1075"/>
        <v>0</v>
      </c>
      <c r="FE110" s="203">
        <f t="shared" si="1159"/>
        <v>0</v>
      </c>
      <c r="FF110" s="199">
        <f t="shared" ca="1" si="1076"/>
        <v>0</v>
      </c>
      <c r="FG110" s="200">
        <f t="shared" si="1077"/>
        <v>0</v>
      </c>
      <c r="FH110" s="201">
        <f t="shared" ca="1" si="1078"/>
        <v>0</v>
      </c>
      <c r="FI110" s="200">
        <f t="shared" si="1079"/>
        <v>0</v>
      </c>
      <c r="FJ110" s="201" cm="1">
        <f t="array" ref="FJ110">IF(LEFT($AG110,3)="Res",IF(OR($DR110&gt;External_Threshold,$DH110&gt;0),1*Uplift*AWE*(External),0),0)</f>
        <v>15481.186685962373</v>
      </c>
      <c r="FK110" s="200">
        <f t="shared" si="1080"/>
        <v>1</v>
      </c>
      <c r="FL110" s="201">
        <f t="shared" si="1081"/>
        <v>0</v>
      </c>
      <c r="FM110" s="203">
        <f t="shared" si="1160"/>
        <v>0</v>
      </c>
      <c r="FN110" s="199">
        <f t="shared" ca="1" si="1082"/>
        <v>0</v>
      </c>
      <c r="FO110" s="200">
        <f t="shared" si="1083"/>
        <v>0</v>
      </c>
      <c r="FP110" s="201">
        <f t="shared" ca="1" si="1084"/>
        <v>0</v>
      </c>
      <c r="FQ110" s="200">
        <f t="shared" si="1085"/>
        <v>0</v>
      </c>
      <c r="FR110" s="201" cm="1">
        <f t="array" ref="FR110">IF(LEFT($AG110,3)="Res",IF(OR($DS110&gt;External_Threshold,$DI110&gt;0),1*Uplift*AWE*(External),0),0)</f>
        <v>15481.186685962373</v>
      </c>
      <c r="FS110" s="200">
        <f t="shared" si="1086"/>
        <v>1</v>
      </c>
      <c r="FT110" s="201">
        <f t="shared" si="1087"/>
        <v>0</v>
      </c>
      <c r="FU110" s="203">
        <f t="shared" si="1161"/>
        <v>0</v>
      </c>
      <c r="FV110" s="199">
        <f t="shared" ca="1" si="1088"/>
        <v>0</v>
      </c>
      <c r="FW110" s="200">
        <f t="shared" si="1089"/>
        <v>0</v>
      </c>
      <c r="FX110" s="201">
        <f t="shared" ca="1" si="1090"/>
        <v>0</v>
      </c>
      <c r="FY110" s="200">
        <f t="shared" si="1091"/>
        <v>0</v>
      </c>
      <c r="FZ110" s="201" cm="1">
        <f t="array" ref="FZ110">IF(LEFT($AG110,3)="Res",IF(OR($DT110&gt;External_Threshold,$DJ110&gt;0),1*Uplift*AWE*(External),0),0)</f>
        <v>0</v>
      </c>
      <c r="GA110" s="200">
        <f t="shared" si="1092"/>
        <v>0</v>
      </c>
      <c r="GB110" s="201">
        <f t="shared" si="1093"/>
        <v>0</v>
      </c>
      <c r="GC110" s="203">
        <f t="shared" si="1162"/>
        <v>0</v>
      </c>
      <c r="GD110" s="199">
        <f t="shared" ca="1" si="1094"/>
        <v>0</v>
      </c>
      <c r="GE110" s="200">
        <f t="shared" si="1095"/>
        <v>0</v>
      </c>
      <c r="GF110" s="201">
        <f t="shared" ca="1" si="1096"/>
        <v>0</v>
      </c>
      <c r="GG110" s="200">
        <f t="shared" si="1097"/>
        <v>0</v>
      </c>
      <c r="GH110" s="201" cm="1">
        <f t="array" ref="GH110">IF(LEFT($AG110,3)="Res",IF(OR($DU110&gt;External_Threshold,$DK110&gt;0),1*Uplift*AWE*(External),0),0)</f>
        <v>0</v>
      </c>
      <c r="GI110" s="200">
        <f t="shared" si="1098"/>
        <v>0</v>
      </c>
      <c r="GJ110" s="201">
        <f t="shared" si="1099"/>
        <v>0</v>
      </c>
      <c r="GK110" s="203">
        <f t="shared" si="1163"/>
        <v>0</v>
      </c>
      <c r="GL110" s="199">
        <f t="shared" ca="1" si="1100"/>
        <v>0</v>
      </c>
      <c r="GM110" s="200">
        <f t="shared" si="1101"/>
        <v>0</v>
      </c>
      <c r="GN110" s="201">
        <f t="shared" ca="1" si="1102"/>
        <v>0</v>
      </c>
      <c r="GO110" s="200">
        <f t="shared" si="1103"/>
        <v>0</v>
      </c>
      <c r="GP110" s="201" cm="1">
        <f t="array" ref="GP110">IF(LEFT($AG110,3)="Res",IF(OR($DV110&gt;External_Threshold,$DL110&gt;0),1*Uplift*AWE*(External),0),0)</f>
        <v>0</v>
      </c>
      <c r="GQ110" s="200">
        <f t="shared" si="1104"/>
        <v>0</v>
      </c>
      <c r="GR110" s="201">
        <f t="shared" si="1105"/>
        <v>0</v>
      </c>
      <c r="GS110" s="203">
        <f t="shared" si="1164"/>
        <v>0</v>
      </c>
      <c r="GT110" s="199">
        <f t="shared" ca="1" si="1106"/>
        <v>0</v>
      </c>
      <c r="GU110" s="200">
        <f t="shared" si="1107"/>
        <v>0</v>
      </c>
      <c r="GV110" s="201">
        <f t="shared" ca="1" si="1108"/>
        <v>0</v>
      </c>
      <c r="GW110" s="200">
        <f t="shared" si="1109"/>
        <v>0</v>
      </c>
      <c r="GX110" s="201" cm="1">
        <f t="array" ref="GX110">IF(LEFT($AG110,3)="Res",IF(OR($DW110&gt;External_Threshold,$DM110&gt;0),1*Uplift*AWE*(External),0),0)</f>
        <v>0</v>
      </c>
      <c r="GY110" s="200">
        <f t="shared" si="1110"/>
        <v>0</v>
      </c>
      <c r="GZ110" s="201">
        <f t="shared" si="1111"/>
        <v>0</v>
      </c>
      <c r="HA110" s="203">
        <f t="shared" si="1165"/>
        <v>0</v>
      </c>
      <c r="HB110" s="54"/>
      <c r="HC110" s="54"/>
      <c r="HD110" s="54"/>
      <c r="HE110" s="54"/>
      <c r="HF110" s="54"/>
      <c r="HG110" s="201">
        <f t="shared" ca="1" si="1166"/>
        <v>327127.00786930672</v>
      </c>
      <c r="HH110" s="201">
        <f t="shared" ca="1" si="1167"/>
        <v>156224.76382164931</v>
      </c>
      <c r="HI110" s="201">
        <f t="shared" ca="1" si="1168"/>
        <v>20060.177681299243</v>
      </c>
      <c r="HJ110" s="201">
        <f t="shared" ca="1" si="1169"/>
        <v>15481.186685962373</v>
      </c>
      <c r="HK110" s="201">
        <f t="shared" ca="1" si="1170"/>
        <v>15481.186685962373</v>
      </c>
      <c r="HL110" s="201">
        <f t="shared" ca="1" si="1171"/>
        <v>15481.186685962373</v>
      </c>
      <c r="HM110" s="201">
        <f t="shared" ca="1" si="1172"/>
        <v>0</v>
      </c>
      <c r="HN110" s="201">
        <f t="shared" ca="1" si="1173"/>
        <v>0</v>
      </c>
      <c r="HO110" s="201">
        <f t="shared" ca="1" si="1174"/>
        <v>0</v>
      </c>
      <c r="HP110" s="201">
        <f t="shared" ca="1" si="1175"/>
        <v>0</v>
      </c>
      <c r="HQ110" s="54"/>
    </row>
    <row r="111" spans="1:225" x14ac:dyDescent="0.3">
      <c r="A111" s="513">
        <v>93</v>
      </c>
      <c r="B111" s="514" t="s">
        <v>516</v>
      </c>
      <c r="C111" s="514" t="s">
        <v>390</v>
      </c>
      <c r="D111" s="514" t="s">
        <v>390</v>
      </c>
      <c r="E111" s="513">
        <v>2</v>
      </c>
      <c r="F111" s="515">
        <v>5.5</v>
      </c>
      <c r="G111" s="515">
        <v>5.48</v>
      </c>
      <c r="H111" s="513">
        <v>1</v>
      </c>
      <c r="I111" s="517">
        <v>2</v>
      </c>
      <c r="J111" s="518" t="s">
        <v>256</v>
      </c>
      <c r="K111" s="513">
        <f t="shared" si="1044"/>
        <v>100</v>
      </c>
      <c r="L111" s="519">
        <v>9.3727272727272695</v>
      </c>
      <c r="M111" s="519">
        <v>6.6199999999999992</v>
      </c>
      <c r="N111" s="519">
        <v>6.3199999999999994</v>
      </c>
      <c r="O111" s="519">
        <v>6.02</v>
      </c>
      <c r="P111" s="519">
        <v>5.55</v>
      </c>
      <c r="Q111" s="519">
        <v>5.03</v>
      </c>
      <c r="R111" s="519">
        <v>4.2300000000000004</v>
      </c>
      <c r="S111" s="519">
        <v>0</v>
      </c>
      <c r="T111" s="519">
        <v>0</v>
      </c>
      <c r="U111" s="519">
        <v>0</v>
      </c>
      <c r="V111" s="536"/>
      <c r="W111" s="536"/>
      <c r="X111" s="536"/>
      <c r="Y111" s="536"/>
      <c r="Z111" s="536"/>
      <c r="AA111" s="536"/>
      <c r="AB111" s="536"/>
      <c r="AC111" s="536"/>
      <c r="AD111" s="536"/>
      <c r="AE111" s="536"/>
      <c r="AF111" s="54"/>
      <c r="AG111" s="204" t="str">
        <f t="shared" si="1253"/>
        <v>Res2</v>
      </c>
      <c r="AH111" s="204">
        <f t="shared" si="1112"/>
        <v>7</v>
      </c>
      <c r="AI111" s="204">
        <f t="shared" si="1045"/>
        <v>1</v>
      </c>
      <c r="AJ111" s="54"/>
      <c r="AK111" s="74">
        <f>IFERROR(IF(H111&gt;4,0,AI111*Inputs!$C$55),0)</f>
        <v>2.6</v>
      </c>
      <c r="AL111" s="81">
        <f>IFERROR(Inputs!$C$73,0)</f>
        <v>5</v>
      </c>
      <c r="AM111" s="211">
        <f>IFERROR(Inputs!$C$74,0)</f>
        <v>0.24299999999999999</v>
      </c>
      <c r="AN111" s="446">
        <f>IFERROR(HLOOKUP(HLOOKUP(AN$17,$V$18:$AE111,COUNTA($AK$18:$AK111),FALSE),Inputs!$B$58:$H$59,2,FALSE),0)</f>
        <v>0</v>
      </c>
      <c r="AO111" s="447">
        <f t="shared" si="1113"/>
        <v>0</v>
      </c>
      <c r="AP111" s="447">
        <f t="shared" si="1114"/>
        <v>0</v>
      </c>
      <c r="AQ111" s="446">
        <f>IFERROR(HLOOKUP(HLOOKUP(AQ$17,$V$18:$AE111,COUNTA($AK$18:$AK111),FALSE),Inputs!$B$58:$H$59,2,FALSE),0)</f>
        <v>0</v>
      </c>
      <c r="AR111" s="447">
        <f t="shared" ref="AR111" si="1416">2*$AK111*AQ111*$AL111/100*$AM111</f>
        <v>0</v>
      </c>
      <c r="AS111" s="447">
        <f t="shared" si="1116"/>
        <v>0</v>
      </c>
      <c r="AT111" s="446">
        <f>IFERROR(HLOOKUP(HLOOKUP(AT$17,$V$18:$AE111,COUNTA($AK$18:$AK111),FALSE),Inputs!$B$58:$H$59,2,FALSE),0)</f>
        <v>0</v>
      </c>
      <c r="AU111" s="447">
        <f t="shared" ref="AU111" si="1417">2*$AK111*AT111*$AL111/100*$AM111</f>
        <v>0</v>
      </c>
      <c r="AV111" s="447">
        <f t="shared" si="1118"/>
        <v>0</v>
      </c>
      <c r="AW111" s="446">
        <f>IFERROR(HLOOKUP(HLOOKUP(AW$17,$V$18:$AE111,COUNTA($AK$18:$AK111),FALSE),Inputs!$B$58:$H$59,2,FALSE),0)</f>
        <v>0</v>
      </c>
      <c r="AX111" s="447">
        <f t="shared" ref="AX111" si="1418">2*$AK111*AW111*$AL111/100*$AM111</f>
        <v>0</v>
      </c>
      <c r="AY111" s="447">
        <f t="shared" si="1120"/>
        <v>0</v>
      </c>
      <c r="AZ111" s="446">
        <f>IFERROR(HLOOKUP(HLOOKUP(AZ$17,$V$18:$AE111,COUNTA($AK$18:$AK111),FALSE),Inputs!$B$58:$H$59,2,FALSE),0)</f>
        <v>0</v>
      </c>
      <c r="BA111" s="447">
        <f t="shared" ref="BA111" si="1419">2*$AK111*AZ111*$AL111/100*$AM111</f>
        <v>0</v>
      </c>
      <c r="BB111" s="447">
        <f t="shared" si="1122"/>
        <v>0</v>
      </c>
      <c r="BC111" s="446">
        <f>IFERROR(HLOOKUP(HLOOKUP(BC$17,$V$18:$AE111,COUNTA($AK$18:$AK111),FALSE),Inputs!$B$58:$H$59,2,FALSE),0)</f>
        <v>0</v>
      </c>
      <c r="BD111" s="447">
        <f t="shared" ref="BD111" si="1420">2*$AK111*BC111*$AL111/100*$AM111</f>
        <v>0</v>
      </c>
      <c r="BE111" s="447">
        <f t="shared" si="1124"/>
        <v>0</v>
      </c>
      <c r="BF111" s="446">
        <f>IFERROR(HLOOKUP(HLOOKUP(BF$17,$V$18:$AE111,COUNTA($AK$18:$AK111),FALSE),Inputs!$B$58:$H$59,2,FALSE),0)</f>
        <v>0</v>
      </c>
      <c r="BG111" s="447">
        <f t="shared" ref="BG111" si="1421">2*$AK111*BF111*$AL111/100*$AM111</f>
        <v>0</v>
      </c>
      <c r="BH111" s="447">
        <f t="shared" si="1126"/>
        <v>0</v>
      </c>
      <c r="BI111" s="446">
        <f>IFERROR(HLOOKUP(HLOOKUP(BI$17,$V$18:$AE111,COUNTA($AK$18:$AK111),FALSE),Inputs!$B$58:$H$59,2,FALSE),0)</f>
        <v>0</v>
      </c>
      <c r="BJ111" s="447">
        <f t="shared" ref="BJ111" si="1422">2*$AK111*BI111*$AL111/100*$AM111</f>
        <v>0</v>
      </c>
      <c r="BK111" s="447">
        <f t="shared" si="1128"/>
        <v>0</v>
      </c>
      <c r="BL111" s="446">
        <f>IFERROR(HLOOKUP(HLOOKUP(BL$17,$V$18:$AE111,COUNTA($AK$18:$AK111),FALSE),Inputs!$B$58:$H$59,2,FALSE),0)</f>
        <v>0</v>
      </c>
      <c r="BM111" s="447">
        <f t="shared" ref="BM111" si="1423">2*$AK111*BL111*$AL111/100*$AM111</f>
        <v>0</v>
      </c>
      <c r="BN111" s="447">
        <f t="shared" si="1130"/>
        <v>0</v>
      </c>
      <c r="BO111" s="446">
        <f>IFERROR(HLOOKUP(HLOOKUP(BO$17,$V$18:$AE111,COUNTA($AK$18:$AK111),FALSE),Inputs!$B$58:$H$59,2,FALSE),0)</f>
        <v>0</v>
      </c>
      <c r="BP111" s="447">
        <f t="shared" ref="BP111" si="1424">2*$AK111*BO111*$AL111/100*$AM111</f>
        <v>0</v>
      </c>
      <c r="BQ111" s="447">
        <f t="shared" si="1132"/>
        <v>0</v>
      </c>
      <c r="BR111" s="54"/>
      <c r="BS111" s="103">
        <f t="shared" ca="1" si="1203"/>
        <v>1542.0232762715473</v>
      </c>
      <c r="BT111" s="103">
        <f t="shared" ca="1" si="1204"/>
        <v>935.21080792990801</v>
      </c>
      <c r="BU111" s="103">
        <f t="shared" si="1205"/>
        <v>541.68672214182345</v>
      </c>
      <c r="BV111" s="103">
        <f t="shared" si="1206"/>
        <v>0</v>
      </c>
      <c r="BW111" s="152">
        <f t="shared" ca="1" si="1207"/>
        <v>3018.9208063432789</v>
      </c>
      <c r="BX111" s="441"/>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188">
        <f t="shared" si="1133"/>
        <v>3.8727272727272695</v>
      </c>
      <c r="DE111" s="188">
        <f t="shared" si="1134"/>
        <v>1.1199999999999992</v>
      </c>
      <c r="DF111" s="188">
        <f t="shared" si="1135"/>
        <v>0.8199999999999994</v>
      </c>
      <c r="DG111" s="188">
        <f t="shared" si="1136"/>
        <v>0.51999999999999957</v>
      </c>
      <c r="DH111" s="188">
        <f t="shared" si="1137"/>
        <v>4.9999999999999822E-2</v>
      </c>
      <c r="DI111" s="188">
        <f t="shared" si="1138"/>
        <v>-0.3</v>
      </c>
      <c r="DJ111" s="188">
        <f t="shared" si="1139"/>
        <v>-0.3</v>
      </c>
      <c r="DK111" s="188">
        <f t="shared" si="1140"/>
        <v>-0.3</v>
      </c>
      <c r="DL111" s="188">
        <f t="shared" si="1141"/>
        <v>-0.3</v>
      </c>
      <c r="DM111" s="188">
        <f t="shared" si="1142"/>
        <v>-0.3</v>
      </c>
      <c r="DN111" s="189">
        <f t="shared" si="1143"/>
        <v>3.892727272727269</v>
      </c>
      <c r="DO111" s="189">
        <f t="shared" si="1144"/>
        <v>1.1399999999999988</v>
      </c>
      <c r="DP111" s="189">
        <f t="shared" si="1145"/>
        <v>0.83999999999999897</v>
      </c>
      <c r="DQ111" s="189">
        <f t="shared" si="1146"/>
        <v>0.53999999999999915</v>
      </c>
      <c r="DR111" s="189">
        <f t="shared" si="1147"/>
        <v>6.9999999999999396E-2</v>
      </c>
      <c r="DS111" s="189">
        <f t="shared" si="1148"/>
        <v>0</v>
      </c>
      <c r="DT111" s="189">
        <f t="shared" si="1149"/>
        <v>0</v>
      </c>
      <c r="DU111" s="189">
        <f t="shared" si="1150"/>
        <v>0</v>
      </c>
      <c r="DV111" s="189">
        <f t="shared" si="1151"/>
        <v>0</v>
      </c>
      <c r="DW111" s="189">
        <f t="shared" si="1152"/>
        <v>0</v>
      </c>
      <c r="DX111" s="54"/>
      <c r="DY111" s="54"/>
      <c r="DZ111" s="199">
        <f t="shared" ca="1" si="1055"/>
        <v>203600.67188856725</v>
      </c>
      <c r="EA111" s="200">
        <f t="shared" si="1153"/>
        <v>1</v>
      </c>
      <c r="EB111" s="201">
        <f t="shared" ca="1" si="1056"/>
        <v>110011.49991789473</v>
      </c>
      <c r="EC111" s="200">
        <f t="shared" si="1154"/>
        <v>1</v>
      </c>
      <c r="ED111" s="201" cm="1">
        <f t="array" ref="ED111">IF(LEFT($AG111,3)="Res",IF(OR($DN111&gt;External_Threshold,$DD111&gt;0),1*Uplift*AWE*(External),0),0)</f>
        <v>15481.186685962373</v>
      </c>
      <c r="EE111" s="200">
        <f t="shared" si="1155"/>
        <v>1</v>
      </c>
      <c r="EF111" s="201">
        <f t="shared" si="1057"/>
        <v>0</v>
      </c>
      <c r="EG111" s="203">
        <f t="shared" si="1156"/>
        <v>0</v>
      </c>
      <c r="EH111" s="199">
        <f t="shared" ca="1" si="1058"/>
        <v>62984.021140858677</v>
      </c>
      <c r="EI111" s="200">
        <f t="shared" si="1059"/>
        <v>1</v>
      </c>
      <c r="EJ111" s="201">
        <f t="shared" ca="1" si="1060"/>
        <v>56206.759310880472</v>
      </c>
      <c r="EK111" s="200">
        <f t="shared" si="1061"/>
        <v>1</v>
      </c>
      <c r="EL111" s="201" cm="1">
        <f t="array" ref="EL111">IF(LEFT($AG111,3)="Res",IF(OR($DO111&gt;External_Threshold,$DE111&gt;0),1*Uplift*AWE*(External),0),0)</f>
        <v>15481.186685962373</v>
      </c>
      <c r="EM111" s="200">
        <f t="shared" si="1062"/>
        <v>1</v>
      </c>
      <c r="EN111" s="201">
        <f t="shared" si="1063"/>
        <v>0</v>
      </c>
      <c r="EO111" s="203">
        <f t="shared" si="1157"/>
        <v>0</v>
      </c>
      <c r="EP111" s="199">
        <f t="shared" ca="1" si="1064"/>
        <v>58038.710865894856</v>
      </c>
      <c r="EQ111" s="200">
        <f t="shared" si="1065"/>
        <v>1</v>
      </c>
      <c r="ER111" s="201">
        <f t="shared" ca="1" si="1066"/>
        <v>46732.390155838657</v>
      </c>
      <c r="ES111" s="200">
        <f t="shared" si="1067"/>
        <v>1</v>
      </c>
      <c r="ET111" s="201" cm="1">
        <f t="array" ref="ET111">IF(LEFT($AG111,3)="Res",IF(OR($DP111&gt;External_Threshold,$DF111&gt;0),1*Uplift*AWE*(External),0),0)</f>
        <v>15481.186685962373</v>
      </c>
      <c r="EU111" s="200">
        <f t="shared" si="1068"/>
        <v>1</v>
      </c>
      <c r="EV111" s="201">
        <f t="shared" si="1069"/>
        <v>0</v>
      </c>
      <c r="EW111" s="203">
        <f t="shared" si="1158"/>
        <v>0</v>
      </c>
      <c r="EX111" s="199">
        <f t="shared" ca="1" si="1070"/>
        <v>54947.891944042458</v>
      </c>
      <c r="EY111" s="200">
        <f t="shared" si="1071"/>
        <v>1</v>
      </c>
      <c r="EZ111" s="201">
        <f t="shared" ca="1" si="1072"/>
        <v>39712.706082246492</v>
      </c>
      <c r="FA111" s="200">
        <f t="shared" si="1073"/>
        <v>1</v>
      </c>
      <c r="FB111" s="201" cm="1">
        <f t="array" ref="FB111">IF(LEFT($AG111,3)="Res",IF(OR($DQ111&gt;External_Threshold,$DG111&gt;0),1*Uplift*AWE*(External),0),0)</f>
        <v>15481.186685962373</v>
      </c>
      <c r="FC111" s="200">
        <f t="shared" si="1074"/>
        <v>1</v>
      </c>
      <c r="FD111" s="201">
        <f t="shared" si="1075"/>
        <v>0</v>
      </c>
      <c r="FE111" s="203">
        <f t="shared" si="1159"/>
        <v>0</v>
      </c>
      <c r="FF111" s="199">
        <f t="shared" ca="1" si="1076"/>
        <v>26901.572097604119</v>
      </c>
      <c r="FG111" s="200">
        <f t="shared" si="1077"/>
        <v>1</v>
      </c>
      <c r="FH111" s="201">
        <f t="shared" ca="1" si="1078"/>
        <v>10036.932239537629</v>
      </c>
      <c r="FI111" s="200">
        <f t="shared" si="1079"/>
        <v>1</v>
      </c>
      <c r="FJ111" s="201" cm="1">
        <f t="array" ref="FJ111">IF(LEFT($AG111,3)="Res",IF(OR($DR111&gt;External_Threshold,$DH111&gt;0),1*Uplift*AWE*(External),0),0)</f>
        <v>15481.186685962373</v>
      </c>
      <c r="FK111" s="200">
        <f t="shared" si="1080"/>
        <v>1</v>
      </c>
      <c r="FL111" s="201">
        <f t="shared" si="1081"/>
        <v>0</v>
      </c>
      <c r="FM111" s="203">
        <f t="shared" si="1160"/>
        <v>0</v>
      </c>
      <c r="FN111" s="199">
        <f t="shared" ca="1" si="1082"/>
        <v>0</v>
      </c>
      <c r="FO111" s="200">
        <f t="shared" si="1083"/>
        <v>0</v>
      </c>
      <c r="FP111" s="201">
        <f t="shared" ca="1" si="1084"/>
        <v>0</v>
      </c>
      <c r="FQ111" s="200">
        <f t="shared" si="1085"/>
        <v>0</v>
      </c>
      <c r="FR111" s="201" cm="1">
        <f t="array" ref="FR111">IF(LEFT($AG111,3)="Res",IF(OR($DS111&gt;External_Threshold,$DI111&gt;0),1*Uplift*AWE*(External),0),0)</f>
        <v>0</v>
      </c>
      <c r="FS111" s="200">
        <f t="shared" si="1086"/>
        <v>0</v>
      </c>
      <c r="FT111" s="201">
        <f t="shared" si="1087"/>
        <v>0</v>
      </c>
      <c r="FU111" s="203">
        <f t="shared" si="1161"/>
        <v>0</v>
      </c>
      <c r="FV111" s="199">
        <f t="shared" ca="1" si="1088"/>
        <v>0</v>
      </c>
      <c r="FW111" s="200">
        <f t="shared" si="1089"/>
        <v>0</v>
      </c>
      <c r="FX111" s="201">
        <f t="shared" ca="1" si="1090"/>
        <v>0</v>
      </c>
      <c r="FY111" s="200">
        <f t="shared" si="1091"/>
        <v>0</v>
      </c>
      <c r="FZ111" s="201" cm="1">
        <f t="array" ref="FZ111">IF(LEFT($AG111,3)="Res",IF(OR($DT111&gt;External_Threshold,$DJ111&gt;0),1*Uplift*AWE*(External),0),0)</f>
        <v>0</v>
      </c>
      <c r="GA111" s="200">
        <f t="shared" si="1092"/>
        <v>0</v>
      </c>
      <c r="GB111" s="201">
        <f t="shared" si="1093"/>
        <v>0</v>
      </c>
      <c r="GC111" s="203">
        <f t="shared" si="1162"/>
        <v>0</v>
      </c>
      <c r="GD111" s="199">
        <f t="shared" ca="1" si="1094"/>
        <v>0</v>
      </c>
      <c r="GE111" s="200">
        <f t="shared" si="1095"/>
        <v>0</v>
      </c>
      <c r="GF111" s="201">
        <f t="shared" ca="1" si="1096"/>
        <v>0</v>
      </c>
      <c r="GG111" s="200">
        <f t="shared" si="1097"/>
        <v>0</v>
      </c>
      <c r="GH111" s="201" cm="1">
        <f t="array" ref="GH111">IF(LEFT($AG111,3)="Res",IF(OR($DU111&gt;External_Threshold,$DK111&gt;0),1*Uplift*AWE*(External),0),0)</f>
        <v>0</v>
      </c>
      <c r="GI111" s="200">
        <f t="shared" si="1098"/>
        <v>0</v>
      </c>
      <c r="GJ111" s="201">
        <f t="shared" si="1099"/>
        <v>0</v>
      </c>
      <c r="GK111" s="203">
        <f t="shared" si="1163"/>
        <v>0</v>
      </c>
      <c r="GL111" s="199">
        <f t="shared" ca="1" si="1100"/>
        <v>0</v>
      </c>
      <c r="GM111" s="200">
        <f t="shared" si="1101"/>
        <v>0</v>
      </c>
      <c r="GN111" s="201">
        <f t="shared" ca="1" si="1102"/>
        <v>0</v>
      </c>
      <c r="GO111" s="200">
        <f t="shared" si="1103"/>
        <v>0</v>
      </c>
      <c r="GP111" s="201" cm="1">
        <f t="array" ref="GP111">IF(LEFT($AG111,3)="Res",IF(OR($DV111&gt;External_Threshold,$DL111&gt;0),1*Uplift*AWE*(External),0),0)</f>
        <v>0</v>
      </c>
      <c r="GQ111" s="200">
        <f t="shared" si="1104"/>
        <v>0</v>
      </c>
      <c r="GR111" s="201">
        <f t="shared" si="1105"/>
        <v>0</v>
      </c>
      <c r="GS111" s="203">
        <f t="shared" si="1164"/>
        <v>0</v>
      </c>
      <c r="GT111" s="199">
        <f t="shared" ca="1" si="1106"/>
        <v>0</v>
      </c>
      <c r="GU111" s="200">
        <f t="shared" si="1107"/>
        <v>0</v>
      </c>
      <c r="GV111" s="201">
        <f t="shared" ca="1" si="1108"/>
        <v>0</v>
      </c>
      <c r="GW111" s="200">
        <f t="shared" si="1109"/>
        <v>0</v>
      </c>
      <c r="GX111" s="201" cm="1">
        <f t="array" ref="GX111">IF(LEFT($AG111,3)="Res",IF(OR($DW111&gt;External_Threshold,$DM111&gt;0),1*Uplift*AWE*(External),0),0)</f>
        <v>0</v>
      </c>
      <c r="GY111" s="200">
        <f t="shared" si="1110"/>
        <v>0</v>
      </c>
      <c r="GZ111" s="201">
        <f t="shared" si="1111"/>
        <v>0</v>
      </c>
      <c r="HA111" s="203">
        <f t="shared" si="1165"/>
        <v>0</v>
      </c>
      <c r="HB111" s="54"/>
      <c r="HC111" s="54"/>
      <c r="HD111" s="54"/>
      <c r="HE111" s="54"/>
      <c r="HF111" s="54"/>
      <c r="HG111" s="201">
        <f t="shared" ca="1" si="1166"/>
        <v>329093.35849242436</v>
      </c>
      <c r="HH111" s="201">
        <f t="shared" ca="1" si="1167"/>
        <v>134671.96713770152</v>
      </c>
      <c r="HI111" s="201">
        <f t="shared" ca="1" si="1168"/>
        <v>120252.28770769588</v>
      </c>
      <c r="HJ111" s="201">
        <f t="shared" ca="1" si="1169"/>
        <v>110141.78471225132</v>
      </c>
      <c r="HK111" s="201">
        <f t="shared" ca="1" si="1170"/>
        <v>52419.691023104126</v>
      </c>
      <c r="HL111" s="201">
        <f t="shared" ca="1" si="1171"/>
        <v>0</v>
      </c>
      <c r="HM111" s="201">
        <f t="shared" ca="1" si="1172"/>
        <v>0</v>
      </c>
      <c r="HN111" s="201">
        <f t="shared" ca="1" si="1173"/>
        <v>0</v>
      </c>
      <c r="HO111" s="201">
        <f t="shared" ca="1" si="1174"/>
        <v>0</v>
      </c>
      <c r="HP111" s="201">
        <f t="shared" ca="1" si="1175"/>
        <v>0</v>
      </c>
      <c r="HQ111" s="54"/>
    </row>
    <row r="112" spans="1:225" x14ac:dyDescent="0.3">
      <c r="A112" s="513">
        <v>94</v>
      </c>
      <c r="B112" s="514" t="s">
        <v>517</v>
      </c>
      <c r="C112" s="514" t="s">
        <v>390</v>
      </c>
      <c r="D112" s="514" t="s">
        <v>390</v>
      </c>
      <c r="E112" s="513">
        <v>2</v>
      </c>
      <c r="F112" s="515">
        <v>5.57</v>
      </c>
      <c r="G112" s="515">
        <v>5.45</v>
      </c>
      <c r="H112" s="513">
        <v>1</v>
      </c>
      <c r="I112" s="517">
        <v>10</v>
      </c>
      <c r="J112" s="518" t="s">
        <v>256</v>
      </c>
      <c r="K112" s="513">
        <f t="shared" si="1044"/>
        <v>100</v>
      </c>
      <c r="L112" s="519">
        <v>9.3727272727272695</v>
      </c>
      <c r="M112" s="519">
        <v>6.6199999999999992</v>
      </c>
      <c r="N112" s="519">
        <v>6.3199999999999994</v>
      </c>
      <c r="O112" s="519">
        <v>6.02</v>
      </c>
      <c r="P112" s="519">
        <v>5.55</v>
      </c>
      <c r="Q112" s="519">
        <v>5.03</v>
      </c>
      <c r="R112" s="519">
        <v>4.2300000000000004</v>
      </c>
      <c r="S112" s="519">
        <v>0</v>
      </c>
      <c r="T112" s="519">
        <v>0</v>
      </c>
      <c r="U112" s="519">
        <v>0</v>
      </c>
      <c r="V112" s="536"/>
      <c r="W112" s="536"/>
      <c r="X112" s="536"/>
      <c r="Y112" s="536"/>
      <c r="Z112" s="536"/>
      <c r="AA112" s="536"/>
      <c r="AB112" s="536"/>
      <c r="AC112" s="536"/>
      <c r="AD112" s="536"/>
      <c r="AE112" s="536"/>
      <c r="AF112" s="54"/>
      <c r="AG112" s="204" t="str">
        <f t="shared" si="1253"/>
        <v>Res2</v>
      </c>
      <c r="AH112" s="204">
        <f t="shared" si="1112"/>
        <v>7</v>
      </c>
      <c r="AI112" s="204">
        <f t="shared" si="1045"/>
        <v>1</v>
      </c>
      <c r="AJ112" s="54"/>
      <c r="AK112" s="74">
        <f>IFERROR(IF(H112&gt;4,0,AI112*Inputs!$C$55),0)</f>
        <v>2.6</v>
      </c>
      <c r="AL112" s="81">
        <f>IFERROR(Inputs!$C$73,0)</f>
        <v>5</v>
      </c>
      <c r="AM112" s="211">
        <f>IFERROR(Inputs!$C$74,0)</f>
        <v>0.24299999999999999</v>
      </c>
      <c r="AN112" s="446">
        <f>IFERROR(HLOOKUP(HLOOKUP(AN$17,$V$18:$AE112,COUNTA($AK$18:$AK112),FALSE),Inputs!$B$58:$H$59,2,FALSE),0)</f>
        <v>0</v>
      </c>
      <c r="AO112" s="447">
        <f t="shared" si="1113"/>
        <v>0</v>
      </c>
      <c r="AP112" s="447">
        <f t="shared" si="1114"/>
        <v>0</v>
      </c>
      <c r="AQ112" s="446">
        <f>IFERROR(HLOOKUP(HLOOKUP(AQ$17,$V$18:$AE112,COUNTA($AK$18:$AK112),FALSE),Inputs!$B$58:$H$59,2,FALSE),0)</f>
        <v>0</v>
      </c>
      <c r="AR112" s="447">
        <f t="shared" ref="AR112" si="1425">2*$AK112*AQ112*$AL112/100*$AM112</f>
        <v>0</v>
      </c>
      <c r="AS112" s="447">
        <f t="shared" si="1116"/>
        <v>0</v>
      </c>
      <c r="AT112" s="446">
        <f>IFERROR(HLOOKUP(HLOOKUP(AT$17,$V$18:$AE112,COUNTA($AK$18:$AK112),FALSE),Inputs!$B$58:$H$59,2,FALSE),0)</f>
        <v>0</v>
      </c>
      <c r="AU112" s="447">
        <f t="shared" ref="AU112" si="1426">2*$AK112*AT112*$AL112/100*$AM112</f>
        <v>0</v>
      </c>
      <c r="AV112" s="447">
        <f t="shared" si="1118"/>
        <v>0</v>
      </c>
      <c r="AW112" s="446">
        <f>IFERROR(HLOOKUP(HLOOKUP(AW$17,$V$18:$AE112,COUNTA($AK$18:$AK112),FALSE),Inputs!$B$58:$H$59,2,FALSE),0)</f>
        <v>0</v>
      </c>
      <c r="AX112" s="447">
        <f t="shared" ref="AX112" si="1427">2*$AK112*AW112*$AL112/100*$AM112</f>
        <v>0</v>
      </c>
      <c r="AY112" s="447">
        <f t="shared" si="1120"/>
        <v>0</v>
      </c>
      <c r="AZ112" s="446">
        <f>IFERROR(HLOOKUP(HLOOKUP(AZ$17,$V$18:$AE112,COUNTA($AK$18:$AK112),FALSE),Inputs!$B$58:$H$59,2,FALSE),0)</f>
        <v>0</v>
      </c>
      <c r="BA112" s="447">
        <f t="shared" ref="BA112" si="1428">2*$AK112*AZ112*$AL112/100*$AM112</f>
        <v>0</v>
      </c>
      <c r="BB112" s="447">
        <f t="shared" si="1122"/>
        <v>0</v>
      </c>
      <c r="BC112" s="446">
        <f>IFERROR(HLOOKUP(HLOOKUP(BC$17,$V$18:$AE112,COUNTA($AK$18:$AK112),FALSE),Inputs!$B$58:$H$59,2,FALSE),0)</f>
        <v>0</v>
      </c>
      <c r="BD112" s="447">
        <f t="shared" ref="BD112" si="1429">2*$AK112*BC112*$AL112/100*$AM112</f>
        <v>0</v>
      </c>
      <c r="BE112" s="447">
        <f t="shared" si="1124"/>
        <v>0</v>
      </c>
      <c r="BF112" s="446">
        <f>IFERROR(HLOOKUP(HLOOKUP(BF$17,$V$18:$AE112,COUNTA($AK$18:$AK112),FALSE),Inputs!$B$58:$H$59,2,FALSE),0)</f>
        <v>0</v>
      </c>
      <c r="BG112" s="447">
        <f t="shared" ref="BG112" si="1430">2*$AK112*BF112*$AL112/100*$AM112</f>
        <v>0</v>
      </c>
      <c r="BH112" s="447">
        <f t="shared" si="1126"/>
        <v>0</v>
      </c>
      <c r="BI112" s="446">
        <f>IFERROR(HLOOKUP(HLOOKUP(BI$17,$V$18:$AE112,COUNTA($AK$18:$AK112),FALSE),Inputs!$B$58:$H$59,2,FALSE),0)</f>
        <v>0</v>
      </c>
      <c r="BJ112" s="447">
        <f t="shared" ref="BJ112" si="1431">2*$AK112*BI112*$AL112/100*$AM112</f>
        <v>0</v>
      </c>
      <c r="BK112" s="447">
        <f t="shared" si="1128"/>
        <v>0</v>
      </c>
      <c r="BL112" s="446">
        <f>IFERROR(HLOOKUP(HLOOKUP(BL$17,$V$18:$AE112,COUNTA($AK$18:$AK112),FALSE),Inputs!$B$58:$H$59,2,FALSE),0)</f>
        <v>0</v>
      </c>
      <c r="BM112" s="447">
        <f t="shared" ref="BM112" si="1432">2*$AK112*BL112*$AL112/100*$AM112</f>
        <v>0</v>
      </c>
      <c r="BN112" s="447">
        <f t="shared" si="1130"/>
        <v>0</v>
      </c>
      <c r="BO112" s="446">
        <f>IFERROR(HLOOKUP(HLOOKUP(BO$17,$V$18:$AE112,COUNTA($AK$18:$AK112),FALSE),Inputs!$B$58:$H$59,2,FALSE),0)</f>
        <v>0</v>
      </c>
      <c r="BP112" s="447">
        <f t="shared" ref="BP112" si="1433">2*$AK112*BO112*$AL112/100*$AM112</f>
        <v>0</v>
      </c>
      <c r="BQ112" s="447">
        <f t="shared" si="1132"/>
        <v>0</v>
      </c>
      <c r="BR112" s="54"/>
      <c r="BS112" s="103">
        <f t="shared" ca="1" si="1203"/>
        <v>1072.0779545496866</v>
      </c>
      <c r="BT112" s="103">
        <f t="shared" ca="1" si="1204"/>
        <v>712.21981870169259</v>
      </c>
      <c r="BU112" s="103">
        <f t="shared" si="1205"/>
        <v>232.06298842257598</v>
      </c>
      <c r="BV112" s="103">
        <f t="shared" si="1206"/>
        <v>0</v>
      </c>
      <c r="BW112" s="152">
        <f t="shared" ca="1" si="1207"/>
        <v>2016.360761673955</v>
      </c>
      <c r="BX112" s="441"/>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188">
        <f t="shared" si="1133"/>
        <v>3.8027272727272692</v>
      </c>
      <c r="DE112" s="188">
        <f t="shared" si="1134"/>
        <v>1.0499999999999989</v>
      </c>
      <c r="DF112" s="188">
        <f t="shared" si="1135"/>
        <v>0.74999999999999911</v>
      </c>
      <c r="DG112" s="188">
        <f t="shared" si="1136"/>
        <v>0.44999999999999929</v>
      </c>
      <c r="DH112" s="188">
        <f t="shared" si="1137"/>
        <v>-2.0000000000000462E-2</v>
      </c>
      <c r="DI112" s="188">
        <f t="shared" si="1138"/>
        <v>-0.3</v>
      </c>
      <c r="DJ112" s="188">
        <f t="shared" si="1139"/>
        <v>-0.3</v>
      </c>
      <c r="DK112" s="188">
        <f t="shared" si="1140"/>
        <v>-0.3</v>
      </c>
      <c r="DL112" s="188">
        <f t="shared" si="1141"/>
        <v>-0.3</v>
      </c>
      <c r="DM112" s="188">
        <f t="shared" si="1142"/>
        <v>-0.3</v>
      </c>
      <c r="DN112" s="189">
        <f t="shared" si="1143"/>
        <v>3.9227272727272693</v>
      </c>
      <c r="DO112" s="189">
        <f t="shared" si="1144"/>
        <v>1.169999999999999</v>
      </c>
      <c r="DP112" s="189">
        <f t="shared" si="1145"/>
        <v>0.86999999999999922</v>
      </c>
      <c r="DQ112" s="189">
        <f t="shared" si="1146"/>
        <v>0.5699999999999994</v>
      </c>
      <c r="DR112" s="189">
        <f t="shared" si="1147"/>
        <v>9.9999999999999645E-2</v>
      </c>
      <c r="DS112" s="189">
        <f t="shared" si="1148"/>
        <v>0</v>
      </c>
      <c r="DT112" s="189">
        <f t="shared" si="1149"/>
        <v>0</v>
      </c>
      <c r="DU112" s="189">
        <f t="shared" si="1150"/>
        <v>0</v>
      </c>
      <c r="DV112" s="189">
        <f t="shared" si="1151"/>
        <v>0</v>
      </c>
      <c r="DW112" s="189">
        <f t="shared" si="1152"/>
        <v>0</v>
      </c>
      <c r="DX112" s="54"/>
      <c r="DY112" s="54"/>
      <c r="DZ112" s="199">
        <f t="shared" ca="1" si="1055"/>
        <v>201783.64500723584</v>
      </c>
      <c r="EA112" s="200">
        <f t="shared" si="1153"/>
        <v>1</v>
      </c>
      <c r="EB112" s="201">
        <f t="shared" ca="1" si="1056"/>
        <v>109136.62608688635</v>
      </c>
      <c r="EC112" s="200">
        <f t="shared" si="1154"/>
        <v>1</v>
      </c>
      <c r="ED112" s="201" cm="1">
        <f t="array" ref="ED112">IF(LEFT($AG112,3)="Res",IF(OR($DN112&gt;External_Threshold,$DD112&gt;0),1*Uplift*AWE*(External),0),0)</f>
        <v>15481.186685962373</v>
      </c>
      <c r="EE112" s="200">
        <f t="shared" si="1155"/>
        <v>1</v>
      </c>
      <c r="EF112" s="201">
        <f t="shared" si="1057"/>
        <v>0</v>
      </c>
      <c r="EG112" s="203">
        <f t="shared" si="1156"/>
        <v>0</v>
      </c>
      <c r="EH112" s="199">
        <f t="shared" ca="1" si="1058"/>
        <v>61541.638977327559</v>
      </c>
      <c r="EI112" s="200">
        <f t="shared" si="1059"/>
        <v>1</v>
      </c>
      <c r="EJ112" s="201">
        <f t="shared" ca="1" si="1060"/>
        <v>55988.040853128376</v>
      </c>
      <c r="EK112" s="200">
        <f t="shared" si="1061"/>
        <v>1</v>
      </c>
      <c r="EL112" s="201" cm="1">
        <f t="array" ref="EL112">IF(LEFT($AG112,3)="Res",IF(OR($DO112&gt;External_Threshold,$DE112&gt;0),1*Uplift*AWE*(External),0),0)</f>
        <v>15481.186685962373</v>
      </c>
      <c r="EM112" s="200">
        <f t="shared" si="1062"/>
        <v>1</v>
      </c>
      <c r="EN112" s="201">
        <f t="shared" si="1063"/>
        <v>0</v>
      </c>
      <c r="EO112" s="203">
        <f t="shared" si="1157"/>
        <v>0</v>
      </c>
      <c r="EP112" s="199">
        <f t="shared" ca="1" si="1064"/>
        <v>57523.574378919453</v>
      </c>
      <c r="EQ112" s="200">
        <f t="shared" si="1065"/>
        <v>1</v>
      </c>
      <c r="ER112" s="201">
        <f t="shared" ca="1" si="1066"/>
        <v>45562.442810239969</v>
      </c>
      <c r="ES112" s="200">
        <f t="shared" si="1067"/>
        <v>1</v>
      </c>
      <c r="ET112" s="201" cm="1">
        <f t="array" ref="ET112">IF(LEFT($AG112,3)="Res",IF(OR($DP112&gt;External_Threshold,$DF112&gt;0),1*Uplift*AWE*(External),0),0)</f>
        <v>15481.186685962373</v>
      </c>
      <c r="EU112" s="200">
        <f t="shared" si="1068"/>
        <v>1</v>
      </c>
      <c r="EV112" s="201">
        <f t="shared" si="1069"/>
        <v>0</v>
      </c>
      <c r="EW112" s="203">
        <f t="shared" si="1158"/>
        <v>0</v>
      </c>
      <c r="EX112" s="199">
        <f t="shared" ca="1" si="1070"/>
        <v>54947.891944042458</v>
      </c>
      <c r="EY112" s="200">
        <f t="shared" si="1071"/>
        <v>1</v>
      </c>
      <c r="EZ112" s="201">
        <f t="shared" ca="1" si="1072"/>
        <v>37558.525676763398</v>
      </c>
      <c r="FA112" s="200">
        <f t="shared" si="1073"/>
        <v>1</v>
      </c>
      <c r="FB112" s="201" cm="1">
        <f t="array" ref="FB112">IF(LEFT($AG112,3)="Res",IF(OR($DQ112&gt;External_Threshold,$DG112&gt;0),1*Uplift*AWE*(External),0),0)</f>
        <v>15481.186685962373</v>
      </c>
      <c r="FC112" s="200">
        <f t="shared" si="1074"/>
        <v>1</v>
      </c>
      <c r="FD112" s="201">
        <f t="shared" si="1075"/>
        <v>0</v>
      </c>
      <c r="FE112" s="203">
        <f t="shared" si="1159"/>
        <v>0</v>
      </c>
      <c r="FF112" s="199">
        <f t="shared" ca="1" si="1076"/>
        <v>3777.6675711529192</v>
      </c>
      <c r="FG112" s="200">
        <f t="shared" si="1077"/>
        <v>0</v>
      </c>
      <c r="FH112" s="201">
        <f t="shared" ca="1" si="1078"/>
        <v>0</v>
      </c>
      <c r="FI112" s="200">
        <f t="shared" si="1079"/>
        <v>0</v>
      </c>
      <c r="FJ112" s="201" cm="1">
        <f t="array" ref="FJ112">IF(LEFT($AG112,3)="Res",IF(OR($DR112&gt;External_Threshold,$DH112&gt;0),1*Uplift*AWE*(External),0),0)</f>
        <v>0</v>
      </c>
      <c r="FK112" s="200">
        <f t="shared" si="1080"/>
        <v>1</v>
      </c>
      <c r="FL112" s="201">
        <f t="shared" si="1081"/>
        <v>0</v>
      </c>
      <c r="FM112" s="203">
        <f t="shared" si="1160"/>
        <v>0</v>
      </c>
      <c r="FN112" s="199">
        <f t="shared" ca="1" si="1082"/>
        <v>0</v>
      </c>
      <c r="FO112" s="200">
        <f t="shared" si="1083"/>
        <v>0</v>
      </c>
      <c r="FP112" s="201">
        <f t="shared" ca="1" si="1084"/>
        <v>0</v>
      </c>
      <c r="FQ112" s="200">
        <f t="shared" si="1085"/>
        <v>0</v>
      </c>
      <c r="FR112" s="201" cm="1">
        <f t="array" ref="FR112">IF(LEFT($AG112,3)="Res",IF(OR($DS112&gt;External_Threshold,$DI112&gt;0),1*Uplift*AWE*(External),0),0)</f>
        <v>0</v>
      </c>
      <c r="FS112" s="200">
        <f t="shared" si="1086"/>
        <v>0</v>
      </c>
      <c r="FT112" s="201">
        <f t="shared" si="1087"/>
        <v>0</v>
      </c>
      <c r="FU112" s="203">
        <f t="shared" si="1161"/>
        <v>0</v>
      </c>
      <c r="FV112" s="199">
        <f t="shared" ca="1" si="1088"/>
        <v>0</v>
      </c>
      <c r="FW112" s="200">
        <f t="shared" si="1089"/>
        <v>0</v>
      </c>
      <c r="FX112" s="201">
        <f t="shared" ca="1" si="1090"/>
        <v>0</v>
      </c>
      <c r="FY112" s="200">
        <f t="shared" si="1091"/>
        <v>0</v>
      </c>
      <c r="FZ112" s="201" cm="1">
        <f t="array" ref="FZ112">IF(LEFT($AG112,3)="Res",IF(OR($DT112&gt;External_Threshold,$DJ112&gt;0),1*Uplift*AWE*(External),0),0)</f>
        <v>0</v>
      </c>
      <c r="GA112" s="200">
        <f t="shared" si="1092"/>
        <v>0</v>
      </c>
      <c r="GB112" s="201">
        <f t="shared" si="1093"/>
        <v>0</v>
      </c>
      <c r="GC112" s="203">
        <f t="shared" si="1162"/>
        <v>0</v>
      </c>
      <c r="GD112" s="199">
        <f t="shared" ca="1" si="1094"/>
        <v>0</v>
      </c>
      <c r="GE112" s="200">
        <f t="shared" si="1095"/>
        <v>0</v>
      </c>
      <c r="GF112" s="201">
        <f t="shared" ca="1" si="1096"/>
        <v>0</v>
      </c>
      <c r="GG112" s="200">
        <f t="shared" si="1097"/>
        <v>0</v>
      </c>
      <c r="GH112" s="201" cm="1">
        <f t="array" ref="GH112">IF(LEFT($AG112,3)="Res",IF(OR($DU112&gt;External_Threshold,$DK112&gt;0),1*Uplift*AWE*(External),0),0)</f>
        <v>0</v>
      </c>
      <c r="GI112" s="200">
        <f t="shared" si="1098"/>
        <v>0</v>
      </c>
      <c r="GJ112" s="201">
        <f t="shared" si="1099"/>
        <v>0</v>
      </c>
      <c r="GK112" s="203">
        <f t="shared" si="1163"/>
        <v>0</v>
      </c>
      <c r="GL112" s="199">
        <f t="shared" ca="1" si="1100"/>
        <v>0</v>
      </c>
      <c r="GM112" s="200">
        <f t="shared" si="1101"/>
        <v>0</v>
      </c>
      <c r="GN112" s="201">
        <f t="shared" ca="1" si="1102"/>
        <v>0</v>
      </c>
      <c r="GO112" s="200">
        <f t="shared" si="1103"/>
        <v>0</v>
      </c>
      <c r="GP112" s="201" cm="1">
        <f t="array" ref="GP112">IF(LEFT($AG112,3)="Res",IF(OR($DV112&gt;External_Threshold,$DL112&gt;0),1*Uplift*AWE*(External),0),0)</f>
        <v>0</v>
      </c>
      <c r="GQ112" s="200">
        <f t="shared" si="1104"/>
        <v>0</v>
      </c>
      <c r="GR112" s="201">
        <f t="shared" si="1105"/>
        <v>0</v>
      </c>
      <c r="GS112" s="203">
        <f t="shared" si="1164"/>
        <v>0</v>
      </c>
      <c r="GT112" s="199">
        <f t="shared" ca="1" si="1106"/>
        <v>0</v>
      </c>
      <c r="GU112" s="200">
        <f t="shared" si="1107"/>
        <v>0</v>
      </c>
      <c r="GV112" s="201">
        <f t="shared" ca="1" si="1108"/>
        <v>0</v>
      </c>
      <c r="GW112" s="200">
        <f t="shared" si="1109"/>
        <v>0</v>
      </c>
      <c r="GX112" s="201" cm="1">
        <f t="array" ref="GX112">IF(LEFT($AG112,3)="Res",IF(OR($DW112&gt;External_Threshold,$DM112&gt;0),1*Uplift*AWE*(External),0),0)</f>
        <v>0</v>
      </c>
      <c r="GY112" s="200">
        <f t="shared" si="1110"/>
        <v>0</v>
      </c>
      <c r="GZ112" s="201">
        <f t="shared" si="1111"/>
        <v>0</v>
      </c>
      <c r="HA112" s="203">
        <f t="shared" si="1165"/>
        <v>0</v>
      </c>
      <c r="HB112" s="54"/>
      <c r="HC112" s="54"/>
      <c r="HD112" s="54"/>
      <c r="HE112" s="54"/>
      <c r="HF112" s="54"/>
      <c r="HG112" s="201">
        <f t="shared" ca="1" si="1166"/>
        <v>326401.45778008457</v>
      </c>
      <c r="HH112" s="201">
        <f t="shared" ca="1" si="1167"/>
        <v>133010.86651641832</v>
      </c>
      <c r="HI112" s="201">
        <f t="shared" ca="1" si="1168"/>
        <v>118567.20387512179</v>
      </c>
      <c r="HJ112" s="201">
        <f t="shared" ca="1" si="1169"/>
        <v>107987.60430676822</v>
      </c>
      <c r="HK112" s="201">
        <f t="shared" ca="1" si="1170"/>
        <v>3777.6675711529192</v>
      </c>
      <c r="HL112" s="201">
        <f t="shared" ca="1" si="1171"/>
        <v>0</v>
      </c>
      <c r="HM112" s="201">
        <f t="shared" ca="1" si="1172"/>
        <v>0</v>
      </c>
      <c r="HN112" s="201">
        <f t="shared" ca="1" si="1173"/>
        <v>0</v>
      </c>
      <c r="HO112" s="201">
        <f t="shared" ca="1" si="1174"/>
        <v>0</v>
      </c>
      <c r="HP112" s="201">
        <f t="shared" ca="1" si="1175"/>
        <v>0</v>
      </c>
      <c r="HQ112" s="54"/>
    </row>
    <row r="113" spans="1:225" x14ac:dyDescent="0.3">
      <c r="A113" s="513">
        <v>95</v>
      </c>
      <c r="B113" s="514" t="s">
        <v>518</v>
      </c>
      <c r="C113" s="514" t="s">
        <v>390</v>
      </c>
      <c r="D113" s="514" t="s">
        <v>390</v>
      </c>
      <c r="E113" s="513">
        <v>1</v>
      </c>
      <c r="F113" s="515">
        <v>5.61</v>
      </c>
      <c r="G113" s="515">
        <v>4.8600000000000003</v>
      </c>
      <c r="H113" s="513">
        <v>5</v>
      </c>
      <c r="I113" s="517">
        <v>1</v>
      </c>
      <c r="J113" s="518" t="s">
        <v>42</v>
      </c>
      <c r="K113" s="513">
        <f t="shared" si="1044"/>
        <v>90</v>
      </c>
      <c r="L113" s="519">
        <v>9.3727272727272695</v>
      </c>
      <c r="M113" s="519">
        <v>6.6199999999999992</v>
      </c>
      <c r="N113" s="519">
        <v>6.3199999999999994</v>
      </c>
      <c r="O113" s="519">
        <v>6.02</v>
      </c>
      <c r="P113" s="519">
        <v>5.55</v>
      </c>
      <c r="Q113" s="519">
        <v>5.03</v>
      </c>
      <c r="R113" s="519">
        <v>4.2300000000000004</v>
      </c>
      <c r="S113" s="519">
        <v>0</v>
      </c>
      <c r="T113" s="519">
        <v>0</v>
      </c>
      <c r="U113" s="519">
        <v>0</v>
      </c>
      <c r="V113" s="536"/>
      <c r="W113" s="536"/>
      <c r="X113" s="536"/>
      <c r="Y113" s="536"/>
      <c r="Z113" s="536"/>
      <c r="AA113" s="536"/>
      <c r="AB113" s="536"/>
      <c r="AC113" s="536"/>
      <c r="AD113" s="536"/>
      <c r="AE113" s="536"/>
      <c r="AF113" s="54"/>
      <c r="AG113" s="204" t="str">
        <f t="shared" si="1253"/>
        <v>Com1</v>
      </c>
      <c r="AH113" s="204">
        <f t="shared" si="1112"/>
        <v>2</v>
      </c>
      <c r="AI113" s="204">
        <f t="shared" si="1045"/>
        <v>1</v>
      </c>
      <c r="AJ113" s="54"/>
      <c r="AK113" s="74">
        <f>IFERROR(IF(H113&gt;4,0,AI113*Inputs!$C$55),0)</f>
        <v>0</v>
      </c>
      <c r="AL113" s="81">
        <f>IFERROR(Inputs!$C$73,0)</f>
        <v>5</v>
      </c>
      <c r="AM113" s="211">
        <f>IFERROR(Inputs!$C$74,0)</f>
        <v>0.24299999999999999</v>
      </c>
      <c r="AN113" s="446">
        <f>IFERROR(HLOOKUP(HLOOKUP(AN$17,$V$18:$AE113,COUNTA($AK$18:$AK113),FALSE),Inputs!$B$58:$H$59,2,FALSE),0)</f>
        <v>0</v>
      </c>
      <c r="AO113" s="447">
        <f t="shared" si="1113"/>
        <v>0</v>
      </c>
      <c r="AP113" s="447">
        <f t="shared" si="1114"/>
        <v>0</v>
      </c>
      <c r="AQ113" s="446">
        <f>IFERROR(HLOOKUP(HLOOKUP(AQ$17,$V$18:$AE113,COUNTA($AK$18:$AK113),FALSE),Inputs!$B$58:$H$59,2,FALSE),0)</f>
        <v>0</v>
      </c>
      <c r="AR113" s="447">
        <f t="shared" ref="AR113" si="1434">2*$AK113*AQ113*$AL113/100*$AM113</f>
        <v>0</v>
      </c>
      <c r="AS113" s="447">
        <f t="shared" si="1116"/>
        <v>0</v>
      </c>
      <c r="AT113" s="446">
        <f>IFERROR(HLOOKUP(HLOOKUP(AT$17,$V$18:$AE113,COUNTA($AK$18:$AK113),FALSE),Inputs!$B$58:$H$59,2,FALSE),0)</f>
        <v>0</v>
      </c>
      <c r="AU113" s="447">
        <f t="shared" ref="AU113" si="1435">2*$AK113*AT113*$AL113/100*$AM113</f>
        <v>0</v>
      </c>
      <c r="AV113" s="447">
        <f t="shared" si="1118"/>
        <v>0</v>
      </c>
      <c r="AW113" s="446">
        <f>IFERROR(HLOOKUP(HLOOKUP(AW$17,$V$18:$AE113,COUNTA($AK$18:$AK113),FALSE),Inputs!$B$58:$H$59,2,FALSE),0)</f>
        <v>0</v>
      </c>
      <c r="AX113" s="447">
        <f t="shared" ref="AX113" si="1436">2*$AK113*AW113*$AL113/100*$AM113</f>
        <v>0</v>
      </c>
      <c r="AY113" s="447">
        <f t="shared" si="1120"/>
        <v>0</v>
      </c>
      <c r="AZ113" s="446">
        <f>IFERROR(HLOOKUP(HLOOKUP(AZ$17,$V$18:$AE113,COUNTA($AK$18:$AK113),FALSE),Inputs!$B$58:$H$59,2,FALSE),0)</f>
        <v>0</v>
      </c>
      <c r="BA113" s="447">
        <f t="shared" ref="BA113" si="1437">2*$AK113*AZ113*$AL113/100*$AM113</f>
        <v>0</v>
      </c>
      <c r="BB113" s="447">
        <f t="shared" si="1122"/>
        <v>0</v>
      </c>
      <c r="BC113" s="446">
        <f>IFERROR(HLOOKUP(HLOOKUP(BC$17,$V$18:$AE113,COUNTA($AK$18:$AK113),FALSE),Inputs!$B$58:$H$59,2,FALSE),0)</f>
        <v>0</v>
      </c>
      <c r="BD113" s="447">
        <f t="shared" ref="BD113" si="1438">2*$AK113*BC113*$AL113/100*$AM113</f>
        <v>0</v>
      </c>
      <c r="BE113" s="447">
        <f t="shared" si="1124"/>
        <v>0</v>
      </c>
      <c r="BF113" s="446">
        <f>IFERROR(HLOOKUP(HLOOKUP(BF$17,$V$18:$AE113,COUNTA($AK$18:$AK113),FALSE),Inputs!$B$58:$H$59,2,FALSE),0)</f>
        <v>0</v>
      </c>
      <c r="BG113" s="447">
        <f t="shared" ref="BG113" si="1439">2*$AK113*BF113*$AL113/100*$AM113</f>
        <v>0</v>
      </c>
      <c r="BH113" s="447">
        <f t="shared" si="1126"/>
        <v>0</v>
      </c>
      <c r="BI113" s="446">
        <f>IFERROR(HLOOKUP(HLOOKUP(BI$17,$V$18:$AE113,COUNTA($AK$18:$AK113),FALSE),Inputs!$B$58:$H$59,2,FALSE),0)</f>
        <v>0</v>
      </c>
      <c r="BJ113" s="447">
        <f t="shared" ref="BJ113" si="1440">2*$AK113*BI113*$AL113/100*$AM113</f>
        <v>0</v>
      </c>
      <c r="BK113" s="447">
        <f t="shared" si="1128"/>
        <v>0</v>
      </c>
      <c r="BL113" s="446">
        <f>IFERROR(HLOOKUP(HLOOKUP(BL$17,$V$18:$AE113,COUNTA($AK$18:$AK113),FALSE),Inputs!$B$58:$H$59,2,FALSE),0)</f>
        <v>0</v>
      </c>
      <c r="BM113" s="447">
        <f t="shared" ref="BM113" si="1441">2*$AK113*BL113*$AL113/100*$AM113</f>
        <v>0</v>
      </c>
      <c r="BN113" s="447">
        <f t="shared" si="1130"/>
        <v>0</v>
      </c>
      <c r="BO113" s="446">
        <f>IFERROR(HLOOKUP(HLOOKUP(BO$17,$V$18:$AE113,COUNTA($AK$18:$AK113),FALSE),Inputs!$B$58:$H$59,2,FALSE),0)</f>
        <v>0</v>
      </c>
      <c r="BP113" s="447">
        <f t="shared" ref="BP113" si="1442">2*$AK113*BO113*$AL113/100*$AM113</f>
        <v>0</v>
      </c>
      <c r="BQ113" s="447">
        <f t="shared" si="1132"/>
        <v>0</v>
      </c>
      <c r="BR113" s="54"/>
      <c r="BS113" s="103">
        <f t="shared" ca="1" si="1203"/>
        <v>587.11202154568753</v>
      </c>
      <c r="BT113" s="103">
        <f t="shared" ca="1" si="1204"/>
        <v>0</v>
      </c>
      <c r="BU113" s="103">
        <f t="shared" si="1205"/>
        <v>0</v>
      </c>
      <c r="BV113" s="103">
        <f t="shared" si="1206"/>
        <v>0</v>
      </c>
      <c r="BW113" s="152">
        <f t="shared" ca="1" si="1207"/>
        <v>587.11202154568753</v>
      </c>
      <c r="BX113" s="441"/>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188">
        <f t="shared" si="1133"/>
        <v>3.7627272727272691</v>
      </c>
      <c r="DE113" s="188">
        <f t="shared" si="1134"/>
        <v>1.0099999999999989</v>
      </c>
      <c r="DF113" s="188">
        <f t="shared" si="1135"/>
        <v>0.70999999999999908</v>
      </c>
      <c r="DG113" s="188">
        <f t="shared" si="1136"/>
        <v>0.40999999999999925</v>
      </c>
      <c r="DH113" s="188">
        <f t="shared" si="1137"/>
        <v>-6.0000000000000497E-2</v>
      </c>
      <c r="DI113" s="188">
        <f t="shared" si="1138"/>
        <v>-0.3</v>
      </c>
      <c r="DJ113" s="188">
        <f t="shared" si="1139"/>
        <v>-0.3</v>
      </c>
      <c r="DK113" s="188">
        <f t="shared" si="1140"/>
        <v>-0.3</v>
      </c>
      <c r="DL113" s="188">
        <f t="shared" si="1141"/>
        <v>-0.3</v>
      </c>
      <c r="DM113" s="188">
        <f t="shared" si="1142"/>
        <v>-0.3</v>
      </c>
      <c r="DN113" s="189">
        <f t="shared" si="1143"/>
        <v>4.5127272727272691</v>
      </c>
      <c r="DO113" s="189">
        <f t="shared" si="1144"/>
        <v>1.7599999999999989</v>
      </c>
      <c r="DP113" s="189">
        <f t="shared" si="1145"/>
        <v>1.4599999999999991</v>
      </c>
      <c r="DQ113" s="189">
        <f t="shared" si="1146"/>
        <v>1.1599999999999993</v>
      </c>
      <c r="DR113" s="189">
        <f t="shared" si="1147"/>
        <v>0.6899999999999995</v>
      </c>
      <c r="DS113" s="189">
        <f t="shared" si="1148"/>
        <v>0.16999999999999993</v>
      </c>
      <c r="DT113" s="189">
        <f t="shared" si="1149"/>
        <v>0</v>
      </c>
      <c r="DU113" s="189">
        <f t="shared" si="1150"/>
        <v>0</v>
      </c>
      <c r="DV113" s="189">
        <f t="shared" si="1151"/>
        <v>0</v>
      </c>
      <c r="DW113" s="189">
        <f t="shared" si="1152"/>
        <v>0</v>
      </c>
      <c r="DX113" s="54"/>
      <c r="DY113" s="54"/>
      <c r="DZ113" s="199">
        <f t="shared" ca="1" si="1055"/>
        <v>80977.128988432567</v>
      </c>
      <c r="EA113" s="200">
        <f t="shared" si="1153"/>
        <v>1</v>
      </c>
      <c r="EB113" s="201">
        <f t="shared" ca="1" si="1056"/>
        <v>0</v>
      </c>
      <c r="EC113" s="200">
        <f t="shared" si="1154"/>
        <v>1</v>
      </c>
      <c r="ED113" s="201" cm="1">
        <f t="array" ref="ED113">IF(LEFT($AG113,3)="Res",IF(OR($DN113&gt;External_Threshold,$DD113&gt;0),1*Uplift*AWE*(External),0),0)</f>
        <v>0</v>
      </c>
      <c r="EE113" s="200">
        <f t="shared" si="1155"/>
        <v>1</v>
      </c>
      <c r="EF113" s="201">
        <f t="shared" si="1057"/>
        <v>0</v>
      </c>
      <c r="EG113" s="203">
        <f t="shared" si="1156"/>
        <v>0</v>
      </c>
      <c r="EH113" s="199">
        <f t="shared" ca="1" si="1058"/>
        <v>52637.492857697383</v>
      </c>
      <c r="EI113" s="200">
        <f t="shared" si="1059"/>
        <v>1</v>
      </c>
      <c r="EJ113" s="201">
        <f t="shared" ca="1" si="1060"/>
        <v>0</v>
      </c>
      <c r="EK113" s="200">
        <f t="shared" si="1061"/>
        <v>1</v>
      </c>
      <c r="EL113" s="201" cm="1">
        <f t="array" ref="EL113">IF(LEFT($AG113,3)="Res",IF(OR($DO113&gt;External_Threshold,$DE113&gt;0),1*Uplift*AWE*(External),0),0)</f>
        <v>0</v>
      </c>
      <c r="EM113" s="200">
        <f t="shared" si="1062"/>
        <v>1</v>
      </c>
      <c r="EN113" s="201">
        <f t="shared" si="1063"/>
        <v>0</v>
      </c>
      <c r="EO113" s="203">
        <f t="shared" si="1157"/>
        <v>0</v>
      </c>
      <c r="EP113" s="199">
        <f t="shared" ca="1" si="1064"/>
        <v>40134.712211784805</v>
      </c>
      <c r="EQ113" s="200">
        <f t="shared" si="1065"/>
        <v>1</v>
      </c>
      <c r="ER113" s="201">
        <f t="shared" ca="1" si="1066"/>
        <v>0</v>
      </c>
      <c r="ES113" s="200">
        <f t="shared" si="1067"/>
        <v>1</v>
      </c>
      <c r="ET113" s="201" cm="1">
        <f t="array" ref="ET113">IF(LEFT($AG113,3)="Res",IF(OR($DP113&gt;External_Threshold,$DF113&gt;0),1*Uplift*AWE*(External),0),0)</f>
        <v>0</v>
      </c>
      <c r="EU113" s="200">
        <f t="shared" si="1068"/>
        <v>1</v>
      </c>
      <c r="EV113" s="201">
        <f t="shared" si="1069"/>
        <v>0</v>
      </c>
      <c r="EW113" s="203">
        <f t="shared" si="1158"/>
        <v>0</v>
      </c>
      <c r="EX113" s="199">
        <f t="shared" ca="1" si="1070"/>
        <v>28622.717956680386</v>
      </c>
      <c r="EY113" s="200">
        <f t="shared" si="1071"/>
        <v>1</v>
      </c>
      <c r="EZ113" s="201">
        <f t="shared" ca="1" si="1072"/>
        <v>0</v>
      </c>
      <c r="FA113" s="200">
        <f t="shared" si="1073"/>
        <v>1</v>
      </c>
      <c r="FB113" s="201" cm="1">
        <f t="array" ref="FB113">IF(LEFT($AG113,3)="Res",IF(OR($DQ113&gt;External_Threshold,$DG113&gt;0),1*Uplift*AWE*(External),0),0)</f>
        <v>0</v>
      </c>
      <c r="FC113" s="200">
        <f t="shared" si="1074"/>
        <v>1</v>
      </c>
      <c r="FD113" s="201">
        <f t="shared" si="1075"/>
        <v>0</v>
      </c>
      <c r="FE113" s="203">
        <f t="shared" si="1159"/>
        <v>0</v>
      </c>
      <c r="FF113" s="199">
        <f t="shared" ca="1" si="1076"/>
        <v>0</v>
      </c>
      <c r="FG113" s="200">
        <f t="shared" si="1077"/>
        <v>0</v>
      </c>
      <c r="FH113" s="201">
        <f t="shared" ca="1" si="1078"/>
        <v>0</v>
      </c>
      <c r="FI113" s="200">
        <f t="shared" si="1079"/>
        <v>0</v>
      </c>
      <c r="FJ113" s="201" cm="1">
        <f t="array" ref="FJ113">IF(LEFT($AG113,3)="Res",IF(OR($DR113&gt;External_Threshold,$DH113&gt;0),1*Uplift*AWE*(External),0),0)</f>
        <v>0</v>
      </c>
      <c r="FK113" s="200">
        <f t="shared" si="1080"/>
        <v>1</v>
      </c>
      <c r="FL113" s="201">
        <f t="shared" si="1081"/>
        <v>0</v>
      </c>
      <c r="FM113" s="203">
        <f t="shared" si="1160"/>
        <v>0</v>
      </c>
      <c r="FN113" s="199">
        <f t="shared" ca="1" si="1082"/>
        <v>0</v>
      </c>
      <c r="FO113" s="200">
        <f t="shared" si="1083"/>
        <v>0</v>
      </c>
      <c r="FP113" s="201">
        <f t="shared" ca="1" si="1084"/>
        <v>0</v>
      </c>
      <c r="FQ113" s="200">
        <f t="shared" si="1085"/>
        <v>0</v>
      </c>
      <c r="FR113" s="201" cm="1">
        <f t="array" ref="FR113">IF(LEFT($AG113,3)="Res",IF(OR($DS113&gt;External_Threshold,$DI113&gt;0),1*Uplift*AWE*(External),0),0)</f>
        <v>0</v>
      </c>
      <c r="FS113" s="200">
        <f t="shared" si="1086"/>
        <v>1</v>
      </c>
      <c r="FT113" s="201">
        <f t="shared" si="1087"/>
        <v>0</v>
      </c>
      <c r="FU113" s="203">
        <f t="shared" si="1161"/>
        <v>0</v>
      </c>
      <c r="FV113" s="199">
        <f t="shared" ca="1" si="1088"/>
        <v>0</v>
      </c>
      <c r="FW113" s="200">
        <f t="shared" si="1089"/>
        <v>0</v>
      </c>
      <c r="FX113" s="201">
        <f t="shared" ca="1" si="1090"/>
        <v>0</v>
      </c>
      <c r="FY113" s="200">
        <f t="shared" si="1091"/>
        <v>0</v>
      </c>
      <c r="FZ113" s="201" cm="1">
        <f t="array" ref="FZ113">IF(LEFT($AG113,3)="Res",IF(OR($DT113&gt;External_Threshold,$DJ113&gt;0),1*Uplift*AWE*(External),0),0)</f>
        <v>0</v>
      </c>
      <c r="GA113" s="200">
        <f t="shared" si="1092"/>
        <v>0</v>
      </c>
      <c r="GB113" s="201">
        <f t="shared" si="1093"/>
        <v>0</v>
      </c>
      <c r="GC113" s="203">
        <f t="shared" si="1162"/>
        <v>0</v>
      </c>
      <c r="GD113" s="199">
        <f t="shared" ca="1" si="1094"/>
        <v>0</v>
      </c>
      <c r="GE113" s="200">
        <f t="shared" si="1095"/>
        <v>0</v>
      </c>
      <c r="GF113" s="201">
        <f t="shared" ca="1" si="1096"/>
        <v>0</v>
      </c>
      <c r="GG113" s="200">
        <f t="shared" si="1097"/>
        <v>0</v>
      </c>
      <c r="GH113" s="201" cm="1">
        <f t="array" ref="GH113">IF(LEFT($AG113,3)="Res",IF(OR($DU113&gt;External_Threshold,$DK113&gt;0),1*Uplift*AWE*(External),0),0)</f>
        <v>0</v>
      </c>
      <c r="GI113" s="200">
        <f t="shared" si="1098"/>
        <v>0</v>
      </c>
      <c r="GJ113" s="201">
        <f t="shared" si="1099"/>
        <v>0</v>
      </c>
      <c r="GK113" s="203">
        <f t="shared" si="1163"/>
        <v>0</v>
      </c>
      <c r="GL113" s="199">
        <f t="shared" ca="1" si="1100"/>
        <v>0</v>
      </c>
      <c r="GM113" s="200">
        <f t="shared" si="1101"/>
        <v>0</v>
      </c>
      <c r="GN113" s="201">
        <f t="shared" ca="1" si="1102"/>
        <v>0</v>
      </c>
      <c r="GO113" s="200">
        <f t="shared" si="1103"/>
        <v>0</v>
      </c>
      <c r="GP113" s="201" cm="1">
        <f t="array" ref="GP113">IF(LEFT($AG113,3)="Res",IF(OR($DV113&gt;External_Threshold,$DL113&gt;0),1*Uplift*AWE*(External),0),0)</f>
        <v>0</v>
      </c>
      <c r="GQ113" s="200">
        <f t="shared" si="1104"/>
        <v>0</v>
      </c>
      <c r="GR113" s="201">
        <f t="shared" si="1105"/>
        <v>0</v>
      </c>
      <c r="GS113" s="203">
        <f t="shared" si="1164"/>
        <v>0</v>
      </c>
      <c r="GT113" s="199">
        <f t="shared" ca="1" si="1106"/>
        <v>0</v>
      </c>
      <c r="GU113" s="200">
        <f t="shared" si="1107"/>
        <v>0</v>
      </c>
      <c r="GV113" s="201">
        <f t="shared" ca="1" si="1108"/>
        <v>0</v>
      </c>
      <c r="GW113" s="200">
        <f t="shared" si="1109"/>
        <v>0</v>
      </c>
      <c r="GX113" s="201" cm="1">
        <f t="array" ref="GX113">IF(LEFT($AG113,3)="Res",IF(OR($DW113&gt;External_Threshold,$DM113&gt;0),1*Uplift*AWE*(External),0),0)</f>
        <v>0</v>
      </c>
      <c r="GY113" s="200">
        <f t="shared" si="1110"/>
        <v>0</v>
      </c>
      <c r="GZ113" s="201">
        <f t="shared" si="1111"/>
        <v>0</v>
      </c>
      <c r="HA113" s="203">
        <f t="shared" si="1165"/>
        <v>0</v>
      </c>
      <c r="HB113" s="54"/>
      <c r="HC113" s="54"/>
      <c r="HD113" s="54"/>
      <c r="HE113" s="54"/>
      <c r="HF113" s="54"/>
      <c r="HG113" s="201">
        <f t="shared" ca="1" si="1166"/>
        <v>80977.128988432567</v>
      </c>
      <c r="HH113" s="201">
        <f t="shared" ca="1" si="1167"/>
        <v>52637.492857697383</v>
      </c>
      <c r="HI113" s="201">
        <f t="shared" ca="1" si="1168"/>
        <v>40134.712211784805</v>
      </c>
      <c r="HJ113" s="201">
        <f t="shared" ca="1" si="1169"/>
        <v>28622.717956680386</v>
      </c>
      <c r="HK113" s="201">
        <f t="shared" ca="1" si="1170"/>
        <v>0</v>
      </c>
      <c r="HL113" s="201">
        <f t="shared" ca="1" si="1171"/>
        <v>0</v>
      </c>
      <c r="HM113" s="201">
        <f t="shared" ca="1" si="1172"/>
        <v>0</v>
      </c>
      <c r="HN113" s="201">
        <f t="shared" ca="1" si="1173"/>
        <v>0</v>
      </c>
      <c r="HO113" s="201">
        <f t="shared" ca="1" si="1174"/>
        <v>0</v>
      </c>
      <c r="HP113" s="201">
        <f t="shared" ca="1" si="1175"/>
        <v>0</v>
      </c>
      <c r="HQ113" s="54"/>
    </row>
    <row r="114" spans="1:225" x14ac:dyDescent="0.3">
      <c r="A114" s="513">
        <v>96</v>
      </c>
      <c r="B114" s="514" t="s">
        <v>519</v>
      </c>
      <c r="C114" s="514" t="s">
        <v>390</v>
      </c>
      <c r="D114" s="514" t="s">
        <v>390</v>
      </c>
      <c r="E114" s="513">
        <v>1</v>
      </c>
      <c r="F114" s="515">
        <v>7.17</v>
      </c>
      <c r="G114" s="515">
        <v>6.9</v>
      </c>
      <c r="H114" s="513">
        <v>6</v>
      </c>
      <c r="I114" s="517">
        <v>1</v>
      </c>
      <c r="J114" s="518" t="s">
        <v>43</v>
      </c>
      <c r="K114" s="513">
        <f t="shared" si="1044"/>
        <v>180</v>
      </c>
      <c r="L114" s="519">
        <v>7.5</v>
      </c>
      <c r="M114" s="519">
        <v>6.6199999999999992</v>
      </c>
      <c r="N114" s="519">
        <v>6.3199999999999994</v>
      </c>
      <c r="O114" s="519">
        <v>6.02</v>
      </c>
      <c r="P114" s="519">
        <v>5.55</v>
      </c>
      <c r="Q114" s="519">
        <v>5.03</v>
      </c>
      <c r="R114" s="519">
        <v>4.2300000000000004</v>
      </c>
      <c r="S114" s="519">
        <v>0</v>
      </c>
      <c r="T114" s="519">
        <v>0</v>
      </c>
      <c r="U114" s="519">
        <v>0</v>
      </c>
      <c r="V114" s="536"/>
      <c r="W114" s="536"/>
      <c r="X114" s="536"/>
      <c r="Y114" s="536"/>
      <c r="Z114" s="536"/>
      <c r="AA114" s="536"/>
      <c r="AB114" s="536"/>
      <c r="AC114" s="536"/>
      <c r="AD114" s="536"/>
      <c r="AE114" s="536"/>
      <c r="AF114" s="54"/>
      <c r="AG114" s="204" t="str">
        <f t="shared" si="1253"/>
        <v>Com1</v>
      </c>
      <c r="AH114" s="204">
        <f t="shared" si="1112"/>
        <v>3</v>
      </c>
      <c r="AI114" s="204">
        <f t="shared" si="1045"/>
        <v>1</v>
      </c>
      <c r="AJ114" s="54"/>
      <c r="AK114" s="74">
        <f>IFERROR(IF(H114&gt;4,0,AI114*Inputs!$C$55),0)</f>
        <v>0</v>
      </c>
      <c r="AL114" s="81">
        <f>IFERROR(Inputs!$C$73,0)</f>
        <v>5</v>
      </c>
      <c r="AM114" s="211">
        <f>IFERROR(Inputs!$C$74,0)</f>
        <v>0.24299999999999999</v>
      </c>
      <c r="AN114" s="446">
        <f>IFERROR(HLOOKUP(HLOOKUP(AN$17,$V$18:$AE114,COUNTA($AK$18:$AK114),FALSE),Inputs!$B$58:$H$59,2,FALSE),0)</f>
        <v>0</v>
      </c>
      <c r="AO114" s="447">
        <f t="shared" si="1113"/>
        <v>0</v>
      </c>
      <c r="AP114" s="447">
        <f t="shared" si="1114"/>
        <v>0</v>
      </c>
      <c r="AQ114" s="446">
        <f>IFERROR(HLOOKUP(HLOOKUP(AQ$17,$V$18:$AE114,COUNTA($AK$18:$AK114),FALSE),Inputs!$B$58:$H$59,2,FALSE),0)</f>
        <v>0</v>
      </c>
      <c r="AR114" s="447">
        <f t="shared" ref="AR114" si="1443">2*$AK114*AQ114*$AL114/100*$AM114</f>
        <v>0</v>
      </c>
      <c r="AS114" s="447">
        <f t="shared" si="1116"/>
        <v>0</v>
      </c>
      <c r="AT114" s="446">
        <f>IFERROR(HLOOKUP(HLOOKUP(AT$17,$V$18:$AE114,COUNTA($AK$18:$AK114),FALSE),Inputs!$B$58:$H$59,2,FALSE),0)</f>
        <v>0</v>
      </c>
      <c r="AU114" s="447">
        <f t="shared" ref="AU114" si="1444">2*$AK114*AT114*$AL114/100*$AM114</f>
        <v>0</v>
      </c>
      <c r="AV114" s="447">
        <f t="shared" si="1118"/>
        <v>0</v>
      </c>
      <c r="AW114" s="446">
        <f>IFERROR(HLOOKUP(HLOOKUP(AW$17,$V$18:$AE114,COUNTA($AK$18:$AK114),FALSE),Inputs!$B$58:$H$59,2,FALSE),0)</f>
        <v>0</v>
      </c>
      <c r="AX114" s="447">
        <f t="shared" ref="AX114" si="1445">2*$AK114*AW114*$AL114/100*$AM114</f>
        <v>0</v>
      </c>
      <c r="AY114" s="447">
        <f t="shared" si="1120"/>
        <v>0</v>
      </c>
      <c r="AZ114" s="446">
        <f>IFERROR(HLOOKUP(HLOOKUP(AZ$17,$V$18:$AE114,COUNTA($AK$18:$AK114),FALSE),Inputs!$B$58:$H$59,2,FALSE),0)</f>
        <v>0</v>
      </c>
      <c r="BA114" s="447">
        <f t="shared" ref="BA114" si="1446">2*$AK114*AZ114*$AL114/100*$AM114</f>
        <v>0</v>
      </c>
      <c r="BB114" s="447">
        <f t="shared" si="1122"/>
        <v>0</v>
      </c>
      <c r="BC114" s="446">
        <f>IFERROR(HLOOKUP(HLOOKUP(BC$17,$V$18:$AE114,COUNTA($AK$18:$AK114),FALSE),Inputs!$B$58:$H$59,2,FALSE),0)</f>
        <v>0</v>
      </c>
      <c r="BD114" s="447">
        <f t="shared" ref="BD114" si="1447">2*$AK114*BC114*$AL114/100*$AM114</f>
        <v>0</v>
      </c>
      <c r="BE114" s="447">
        <f t="shared" si="1124"/>
        <v>0</v>
      </c>
      <c r="BF114" s="446">
        <f>IFERROR(HLOOKUP(HLOOKUP(BF$17,$V$18:$AE114,COUNTA($AK$18:$AK114),FALSE),Inputs!$B$58:$H$59,2,FALSE),0)</f>
        <v>0</v>
      </c>
      <c r="BG114" s="447">
        <f t="shared" ref="BG114" si="1448">2*$AK114*BF114*$AL114/100*$AM114</f>
        <v>0</v>
      </c>
      <c r="BH114" s="447">
        <f t="shared" si="1126"/>
        <v>0</v>
      </c>
      <c r="BI114" s="446">
        <f>IFERROR(HLOOKUP(HLOOKUP(BI$17,$V$18:$AE114,COUNTA($AK$18:$AK114),FALSE),Inputs!$B$58:$H$59,2,FALSE),0)</f>
        <v>0</v>
      </c>
      <c r="BJ114" s="447">
        <f t="shared" ref="BJ114" si="1449">2*$AK114*BI114*$AL114/100*$AM114</f>
        <v>0</v>
      </c>
      <c r="BK114" s="447">
        <f t="shared" si="1128"/>
        <v>0</v>
      </c>
      <c r="BL114" s="446">
        <f>IFERROR(HLOOKUP(HLOOKUP(BL$17,$V$18:$AE114,COUNTA($AK$18:$AK114),FALSE),Inputs!$B$58:$H$59,2,FALSE),0)</f>
        <v>0</v>
      </c>
      <c r="BM114" s="447">
        <f t="shared" ref="BM114" si="1450">2*$AK114*BL114*$AL114/100*$AM114</f>
        <v>0</v>
      </c>
      <c r="BN114" s="447">
        <f t="shared" si="1130"/>
        <v>0</v>
      </c>
      <c r="BO114" s="446">
        <f>IFERROR(HLOOKUP(HLOOKUP(BO$17,$V$18:$AE114,COUNTA($AK$18:$AK114),FALSE),Inputs!$B$58:$H$59,2,FALSE),0)</f>
        <v>0</v>
      </c>
      <c r="BP114" s="447">
        <f t="shared" ref="BP114" si="1451">2*$AK114*BO114*$AL114/100*$AM114</f>
        <v>0</v>
      </c>
      <c r="BQ114" s="447">
        <f t="shared" si="1132"/>
        <v>0</v>
      </c>
      <c r="BR114" s="54"/>
      <c r="BS114" s="103">
        <f t="shared" ca="1" si="1203"/>
        <v>68.324225107522722</v>
      </c>
      <c r="BT114" s="103">
        <f t="shared" ca="1" si="1204"/>
        <v>0</v>
      </c>
      <c r="BU114" s="103">
        <f t="shared" si="1205"/>
        <v>0</v>
      </c>
      <c r="BV114" s="103">
        <f t="shared" si="1206"/>
        <v>0</v>
      </c>
      <c r="BW114" s="152">
        <f t="shared" ca="1" si="1207"/>
        <v>68.324225107522722</v>
      </c>
      <c r="BX114" s="441"/>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188">
        <f t="shared" si="1133"/>
        <v>0.33000000000000007</v>
      </c>
      <c r="DE114" s="188">
        <f t="shared" si="1134"/>
        <v>-0.3</v>
      </c>
      <c r="DF114" s="188">
        <f t="shared" si="1135"/>
        <v>-0.3</v>
      </c>
      <c r="DG114" s="188">
        <f t="shared" si="1136"/>
        <v>-0.3</v>
      </c>
      <c r="DH114" s="188">
        <f t="shared" si="1137"/>
        <v>-0.3</v>
      </c>
      <c r="DI114" s="188">
        <f t="shared" si="1138"/>
        <v>-0.3</v>
      </c>
      <c r="DJ114" s="188">
        <f t="shared" si="1139"/>
        <v>-0.3</v>
      </c>
      <c r="DK114" s="188">
        <f t="shared" si="1140"/>
        <v>-0.3</v>
      </c>
      <c r="DL114" s="188">
        <f t="shared" si="1141"/>
        <v>-0.3</v>
      </c>
      <c r="DM114" s="188">
        <f t="shared" si="1142"/>
        <v>-0.3</v>
      </c>
      <c r="DN114" s="189">
        <f t="shared" si="1143"/>
        <v>0.59999999999999964</v>
      </c>
      <c r="DO114" s="189">
        <f t="shared" si="1144"/>
        <v>0</v>
      </c>
      <c r="DP114" s="189">
        <f t="shared" si="1145"/>
        <v>0</v>
      </c>
      <c r="DQ114" s="189">
        <f t="shared" si="1146"/>
        <v>0</v>
      </c>
      <c r="DR114" s="189">
        <f t="shared" si="1147"/>
        <v>0</v>
      </c>
      <c r="DS114" s="189">
        <f t="shared" si="1148"/>
        <v>0</v>
      </c>
      <c r="DT114" s="189">
        <f t="shared" si="1149"/>
        <v>0</v>
      </c>
      <c r="DU114" s="189">
        <f t="shared" si="1150"/>
        <v>0</v>
      </c>
      <c r="DV114" s="189">
        <f t="shared" si="1151"/>
        <v>0</v>
      </c>
      <c r="DW114" s="189">
        <f t="shared" si="1152"/>
        <v>0</v>
      </c>
      <c r="DX114" s="54"/>
      <c r="DY114" s="54"/>
      <c r="DZ114" s="199">
        <f t="shared" ca="1" si="1055"/>
        <v>68667.562922133395</v>
      </c>
      <c r="EA114" s="200">
        <f t="shared" si="1153"/>
        <v>1</v>
      </c>
      <c r="EB114" s="201">
        <f t="shared" ca="1" si="1056"/>
        <v>0</v>
      </c>
      <c r="EC114" s="200">
        <f t="shared" si="1154"/>
        <v>1</v>
      </c>
      <c r="ED114" s="201" cm="1">
        <f t="array" ref="ED114">IF(LEFT($AG114,3)="Res",IF(OR($DN114&gt;External_Threshold,$DD114&gt;0),1*Uplift*AWE*(External),0),0)</f>
        <v>0</v>
      </c>
      <c r="EE114" s="200">
        <f t="shared" si="1155"/>
        <v>1</v>
      </c>
      <c r="EF114" s="201">
        <f t="shared" si="1057"/>
        <v>0</v>
      </c>
      <c r="EG114" s="203">
        <f t="shared" si="1156"/>
        <v>0</v>
      </c>
      <c r="EH114" s="199">
        <f t="shared" ca="1" si="1058"/>
        <v>0</v>
      </c>
      <c r="EI114" s="200">
        <f t="shared" si="1059"/>
        <v>0</v>
      </c>
      <c r="EJ114" s="201">
        <f t="shared" ca="1" si="1060"/>
        <v>0</v>
      </c>
      <c r="EK114" s="200">
        <f t="shared" si="1061"/>
        <v>0</v>
      </c>
      <c r="EL114" s="201" cm="1">
        <f t="array" ref="EL114">IF(LEFT($AG114,3)="Res",IF(OR($DO114&gt;External_Threshold,$DE114&gt;0),1*Uplift*AWE*(External),0),0)</f>
        <v>0</v>
      </c>
      <c r="EM114" s="200">
        <f t="shared" si="1062"/>
        <v>0</v>
      </c>
      <c r="EN114" s="201">
        <f t="shared" si="1063"/>
        <v>0</v>
      </c>
      <c r="EO114" s="203">
        <f t="shared" si="1157"/>
        <v>0</v>
      </c>
      <c r="EP114" s="199">
        <f t="shared" ca="1" si="1064"/>
        <v>0</v>
      </c>
      <c r="EQ114" s="200">
        <f t="shared" si="1065"/>
        <v>0</v>
      </c>
      <c r="ER114" s="201">
        <f t="shared" ca="1" si="1066"/>
        <v>0</v>
      </c>
      <c r="ES114" s="200">
        <f t="shared" si="1067"/>
        <v>0</v>
      </c>
      <c r="ET114" s="201" cm="1">
        <f t="array" ref="ET114">IF(LEFT($AG114,3)="Res",IF(OR($DP114&gt;External_Threshold,$DF114&gt;0),1*Uplift*AWE*(External),0),0)</f>
        <v>0</v>
      </c>
      <c r="EU114" s="200">
        <f t="shared" si="1068"/>
        <v>0</v>
      </c>
      <c r="EV114" s="201">
        <f t="shared" si="1069"/>
        <v>0</v>
      </c>
      <c r="EW114" s="203">
        <f t="shared" si="1158"/>
        <v>0</v>
      </c>
      <c r="EX114" s="199">
        <f t="shared" ca="1" si="1070"/>
        <v>0</v>
      </c>
      <c r="EY114" s="200">
        <f t="shared" si="1071"/>
        <v>0</v>
      </c>
      <c r="EZ114" s="201">
        <f t="shared" ca="1" si="1072"/>
        <v>0</v>
      </c>
      <c r="FA114" s="200">
        <f t="shared" si="1073"/>
        <v>0</v>
      </c>
      <c r="FB114" s="201" cm="1">
        <f t="array" ref="FB114">IF(LEFT($AG114,3)="Res",IF(OR($DQ114&gt;External_Threshold,$DG114&gt;0),1*Uplift*AWE*(External),0),0)</f>
        <v>0</v>
      </c>
      <c r="FC114" s="200">
        <f t="shared" si="1074"/>
        <v>0</v>
      </c>
      <c r="FD114" s="201">
        <f t="shared" si="1075"/>
        <v>0</v>
      </c>
      <c r="FE114" s="203">
        <f t="shared" si="1159"/>
        <v>0</v>
      </c>
      <c r="FF114" s="199">
        <f t="shared" ca="1" si="1076"/>
        <v>0</v>
      </c>
      <c r="FG114" s="200">
        <f t="shared" si="1077"/>
        <v>0</v>
      </c>
      <c r="FH114" s="201">
        <f t="shared" ca="1" si="1078"/>
        <v>0</v>
      </c>
      <c r="FI114" s="200">
        <f t="shared" si="1079"/>
        <v>0</v>
      </c>
      <c r="FJ114" s="201" cm="1">
        <f t="array" ref="FJ114">IF(LEFT($AG114,3)="Res",IF(OR($DR114&gt;External_Threshold,$DH114&gt;0),1*Uplift*AWE*(External),0),0)</f>
        <v>0</v>
      </c>
      <c r="FK114" s="200">
        <f t="shared" si="1080"/>
        <v>0</v>
      </c>
      <c r="FL114" s="201">
        <f t="shared" si="1081"/>
        <v>0</v>
      </c>
      <c r="FM114" s="203">
        <f t="shared" si="1160"/>
        <v>0</v>
      </c>
      <c r="FN114" s="199">
        <f t="shared" ca="1" si="1082"/>
        <v>0</v>
      </c>
      <c r="FO114" s="200">
        <f t="shared" si="1083"/>
        <v>0</v>
      </c>
      <c r="FP114" s="201">
        <f t="shared" ca="1" si="1084"/>
        <v>0</v>
      </c>
      <c r="FQ114" s="200">
        <f t="shared" si="1085"/>
        <v>0</v>
      </c>
      <c r="FR114" s="201" cm="1">
        <f t="array" ref="FR114">IF(LEFT($AG114,3)="Res",IF(OR($DS114&gt;External_Threshold,$DI114&gt;0),1*Uplift*AWE*(External),0),0)</f>
        <v>0</v>
      </c>
      <c r="FS114" s="200">
        <f t="shared" si="1086"/>
        <v>0</v>
      </c>
      <c r="FT114" s="201">
        <f t="shared" si="1087"/>
        <v>0</v>
      </c>
      <c r="FU114" s="203">
        <f t="shared" si="1161"/>
        <v>0</v>
      </c>
      <c r="FV114" s="199">
        <f t="shared" ca="1" si="1088"/>
        <v>0</v>
      </c>
      <c r="FW114" s="200">
        <f t="shared" si="1089"/>
        <v>0</v>
      </c>
      <c r="FX114" s="201">
        <f t="shared" ca="1" si="1090"/>
        <v>0</v>
      </c>
      <c r="FY114" s="200">
        <f t="shared" si="1091"/>
        <v>0</v>
      </c>
      <c r="FZ114" s="201" cm="1">
        <f t="array" ref="FZ114">IF(LEFT($AG114,3)="Res",IF(OR($DT114&gt;External_Threshold,$DJ114&gt;0),1*Uplift*AWE*(External),0),0)</f>
        <v>0</v>
      </c>
      <c r="GA114" s="200">
        <f t="shared" si="1092"/>
        <v>0</v>
      </c>
      <c r="GB114" s="201">
        <f t="shared" si="1093"/>
        <v>0</v>
      </c>
      <c r="GC114" s="203">
        <f t="shared" si="1162"/>
        <v>0</v>
      </c>
      <c r="GD114" s="199">
        <f t="shared" ca="1" si="1094"/>
        <v>0</v>
      </c>
      <c r="GE114" s="200">
        <f t="shared" si="1095"/>
        <v>0</v>
      </c>
      <c r="GF114" s="201">
        <f t="shared" ca="1" si="1096"/>
        <v>0</v>
      </c>
      <c r="GG114" s="200">
        <f t="shared" si="1097"/>
        <v>0</v>
      </c>
      <c r="GH114" s="201" cm="1">
        <f t="array" ref="GH114">IF(LEFT($AG114,3)="Res",IF(OR($DU114&gt;External_Threshold,$DK114&gt;0),1*Uplift*AWE*(External),0),0)</f>
        <v>0</v>
      </c>
      <c r="GI114" s="200">
        <f t="shared" si="1098"/>
        <v>0</v>
      </c>
      <c r="GJ114" s="201">
        <f t="shared" si="1099"/>
        <v>0</v>
      </c>
      <c r="GK114" s="203">
        <f t="shared" si="1163"/>
        <v>0</v>
      </c>
      <c r="GL114" s="199">
        <f t="shared" ca="1" si="1100"/>
        <v>0</v>
      </c>
      <c r="GM114" s="200">
        <f t="shared" si="1101"/>
        <v>0</v>
      </c>
      <c r="GN114" s="201">
        <f t="shared" ca="1" si="1102"/>
        <v>0</v>
      </c>
      <c r="GO114" s="200">
        <f t="shared" si="1103"/>
        <v>0</v>
      </c>
      <c r="GP114" s="201" cm="1">
        <f t="array" ref="GP114">IF(LEFT($AG114,3)="Res",IF(OR($DV114&gt;External_Threshold,$DL114&gt;0),1*Uplift*AWE*(External),0),0)</f>
        <v>0</v>
      </c>
      <c r="GQ114" s="200">
        <f t="shared" si="1104"/>
        <v>0</v>
      </c>
      <c r="GR114" s="201">
        <f t="shared" si="1105"/>
        <v>0</v>
      </c>
      <c r="GS114" s="203">
        <f t="shared" si="1164"/>
        <v>0</v>
      </c>
      <c r="GT114" s="199">
        <f t="shared" ca="1" si="1106"/>
        <v>0</v>
      </c>
      <c r="GU114" s="200">
        <f t="shared" si="1107"/>
        <v>0</v>
      </c>
      <c r="GV114" s="201">
        <f t="shared" ca="1" si="1108"/>
        <v>0</v>
      </c>
      <c r="GW114" s="200">
        <f t="shared" si="1109"/>
        <v>0</v>
      </c>
      <c r="GX114" s="201" cm="1">
        <f t="array" ref="GX114">IF(LEFT($AG114,3)="Res",IF(OR($DW114&gt;External_Threshold,$DM114&gt;0),1*Uplift*AWE*(External),0),0)</f>
        <v>0</v>
      </c>
      <c r="GY114" s="200">
        <f t="shared" si="1110"/>
        <v>0</v>
      </c>
      <c r="GZ114" s="201">
        <f t="shared" si="1111"/>
        <v>0</v>
      </c>
      <c r="HA114" s="203">
        <f t="shared" si="1165"/>
        <v>0</v>
      </c>
      <c r="HB114" s="54"/>
      <c r="HC114" s="54"/>
      <c r="HD114" s="54"/>
      <c r="HE114" s="54"/>
      <c r="HF114" s="54"/>
      <c r="HG114" s="201">
        <f t="shared" ca="1" si="1166"/>
        <v>68667.562922133395</v>
      </c>
      <c r="HH114" s="201">
        <f t="shared" ca="1" si="1167"/>
        <v>0</v>
      </c>
      <c r="HI114" s="201">
        <f t="shared" ca="1" si="1168"/>
        <v>0</v>
      </c>
      <c r="HJ114" s="201">
        <f t="shared" ca="1" si="1169"/>
        <v>0</v>
      </c>
      <c r="HK114" s="201">
        <f t="shared" ca="1" si="1170"/>
        <v>0</v>
      </c>
      <c r="HL114" s="201">
        <f t="shared" ca="1" si="1171"/>
        <v>0</v>
      </c>
      <c r="HM114" s="201">
        <f t="shared" ca="1" si="1172"/>
        <v>0</v>
      </c>
      <c r="HN114" s="201">
        <f t="shared" ca="1" si="1173"/>
        <v>0</v>
      </c>
      <c r="HO114" s="201">
        <f t="shared" ca="1" si="1174"/>
        <v>0</v>
      </c>
      <c r="HP114" s="201">
        <f t="shared" ca="1" si="1175"/>
        <v>0</v>
      </c>
      <c r="HQ114" s="54"/>
    </row>
    <row r="115" spans="1:225" x14ac:dyDescent="0.3">
      <c r="A115" s="513">
        <v>97</v>
      </c>
      <c r="B115" s="514" t="s">
        <v>520</v>
      </c>
      <c r="C115" s="514" t="s">
        <v>390</v>
      </c>
      <c r="D115" s="514" t="s">
        <v>390</v>
      </c>
      <c r="E115" s="513">
        <v>1</v>
      </c>
      <c r="F115" s="515">
        <v>6.78</v>
      </c>
      <c r="G115" s="515">
        <v>6.34</v>
      </c>
      <c r="H115" s="513">
        <v>7</v>
      </c>
      <c r="I115" s="517">
        <v>1</v>
      </c>
      <c r="J115" s="518" t="s">
        <v>44</v>
      </c>
      <c r="K115" s="513">
        <f t="shared" ref="K115:K137" si="1452">IF(H115=$B$12,$P$15,IF(H115=$B$13,$Q$15,_xlfn.XLOOKUP(J115,$K$14:$Q$14,$K$15:$Q$15,$O$15)))</f>
        <v>240</v>
      </c>
      <c r="L115" s="519">
        <v>7.5</v>
      </c>
      <c r="M115" s="519">
        <v>6.6199999999999992</v>
      </c>
      <c r="N115" s="519">
        <v>6.3199999999999994</v>
      </c>
      <c r="O115" s="519">
        <v>6.02</v>
      </c>
      <c r="P115" s="519">
        <v>5.55</v>
      </c>
      <c r="Q115" s="519">
        <v>5.03</v>
      </c>
      <c r="R115" s="519">
        <v>4.2300000000000004</v>
      </c>
      <c r="S115" s="519">
        <v>0</v>
      </c>
      <c r="T115" s="519">
        <v>0</v>
      </c>
      <c r="U115" s="519">
        <v>0</v>
      </c>
      <c r="V115" s="536"/>
      <c r="W115" s="536"/>
      <c r="X115" s="536"/>
      <c r="Y115" s="536"/>
      <c r="Z115" s="536"/>
      <c r="AA115" s="536"/>
      <c r="AB115" s="536"/>
      <c r="AC115" s="536"/>
      <c r="AD115" s="536"/>
      <c r="AE115" s="536"/>
      <c r="AF115" s="54"/>
      <c r="AG115" s="204" t="str">
        <f t="shared" si="1253"/>
        <v>Com1</v>
      </c>
      <c r="AH115" s="204">
        <f t="shared" si="1112"/>
        <v>4</v>
      </c>
      <c r="AI115" s="204">
        <f t="shared" ref="AI115:AI137" si="1453">IF(OR(H115=$B$12,H115=$B$13),I115,1)</f>
        <v>1</v>
      </c>
      <c r="AJ115" s="54"/>
      <c r="AK115" s="74">
        <f>IFERROR(IF(H115&gt;4,0,AI115*Inputs!$C$55),0)</f>
        <v>0</v>
      </c>
      <c r="AL115" s="81">
        <f>IFERROR(Inputs!$C$73,0)</f>
        <v>5</v>
      </c>
      <c r="AM115" s="211">
        <f>IFERROR(Inputs!$C$74,0)</f>
        <v>0.24299999999999999</v>
      </c>
      <c r="AN115" s="446">
        <f>IFERROR(HLOOKUP(HLOOKUP(AN$17,$V$18:$AE115,COUNTA($AK$18:$AK115),FALSE),Inputs!$B$58:$H$59,2,FALSE),0)</f>
        <v>0</v>
      </c>
      <c r="AO115" s="447">
        <f t="shared" si="1113"/>
        <v>0</v>
      </c>
      <c r="AP115" s="447">
        <f t="shared" si="1114"/>
        <v>0</v>
      </c>
      <c r="AQ115" s="446">
        <f>IFERROR(HLOOKUP(HLOOKUP(AQ$17,$V$18:$AE115,COUNTA($AK$18:$AK115),FALSE),Inputs!$B$58:$H$59,2,FALSE),0)</f>
        <v>0</v>
      </c>
      <c r="AR115" s="447">
        <f t="shared" ref="AR115" si="1454">2*$AK115*AQ115*$AL115/100*$AM115</f>
        <v>0</v>
      </c>
      <c r="AS115" s="447">
        <f t="shared" si="1116"/>
        <v>0</v>
      </c>
      <c r="AT115" s="446">
        <f>IFERROR(HLOOKUP(HLOOKUP(AT$17,$V$18:$AE115,COUNTA($AK$18:$AK115),FALSE),Inputs!$B$58:$H$59,2,FALSE),0)</f>
        <v>0</v>
      </c>
      <c r="AU115" s="447">
        <f t="shared" ref="AU115" si="1455">2*$AK115*AT115*$AL115/100*$AM115</f>
        <v>0</v>
      </c>
      <c r="AV115" s="447">
        <f t="shared" si="1118"/>
        <v>0</v>
      </c>
      <c r="AW115" s="446">
        <f>IFERROR(HLOOKUP(HLOOKUP(AW$17,$V$18:$AE115,COUNTA($AK$18:$AK115),FALSE),Inputs!$B$58:$H$59,2,FALSE),0)</f>
        <v>0</v>
      </c>
      <c r="AX115" s="447">
        <f t="shared" ref="AX115" si="1456">2*$AK115*AW115*$AL115/100*$AM115</f>
        <v>0</v>
      </c>
      <c r="AY115" s="447">
        <f t="shared" si="1120"/>
        <v>0</v>
      </c>
      <c r="AZ115" s="446">
        <f>IFERROR(HLOOKUP(HLOOKUP(AZ$17,$V$18:$AE115,COUNTA($AK$18:$AK115),FALSE),Inputs!$B$58:$H$59,2,FALSE),0)</f>
        <v>0</v>
      </c>
      <c r="BA115" s="447">
        <f t="shared" ref="BA115" si="1457">2*$AK115*AZ115*$AL115/100*$AM115</f>
        <v>0</v>
      </c>
      <c r="BB115" s="447">
        <f t="shared" si="1122"/>
        <v>0</v>
      </c>
      <c r="BC115" s="446">
        <f>IFERROR(HLOOKUP(HLOOKUP(BC$17,$V$18:$AE115,COUNTA($AK$18:$AK115),FALSE),Inputs!$B$58:$H$59,2,FALSE),0)</f>
        <v>0</v>
      </c>
      <c r="BD115" s="447">
        <f t="shared" ref="BD115" si="1458">2*$AK115*BC115*$AL115/100*$AM115</f>
        <v>0</v>
      </c>
      <c r="BE115" s="447">
        <f t="shared" si="1124"/>
        <v>0</v>
      </c>
      <c r="BF115" s="446">
        <f>IFERROR(HLOOKUP(HLOOKUP(BF$17,$V$18:$AE115,COUNTA($AK$18:$AK115),FALSE),Inputs!$B$58:$H$59,2,FALSE),0)</f>
        <v>0</v>
      </c>
      <c r="BG115" s="447">
        <f t="shared" ref="BG115" si="1459">2*$AK115*BF115*$AL115/100*$AM115</f>
        <v>0</v>
      </c>
      <c r="BH115" s="447">
        <f t="shared" si="1126"/>
        <v>0</v>
      </c>
      <c r="BI115" s="446">
        <f>IFERROR(HLOOKUP(HLOOKUP(BI$17,$V$18:$AE115,COUNTA($AK$18:$AK115),FALSE),Inputs!$B$58:$H$59,2,FALSE),0)</f>
        <v>0</v>
      </c>
      <c r="BJ115" s="447">
        <f t="shared" ref="BJ115" si="1460">2*$AK115*BI115*$AL115/100*$AM115</f>
        <v>0</v>
      </c>
      <c r="BK115" s="447">
        <f t="shared" si="1128"/>
        <v>0</v>
      </c>
      <c r="BL115" s="446">
        <f>IFERROR(HLOOKUP(HLOOKUP(BL$17,$V$18:$AE115,COUNTA($AK$18:$AK115),FALSE),Inputs!$B$58:$H$59,2,FALSE),0)</f>
        <v>0</v>
      </c>
      <c r="BM115" s="447">
        <f t="shared" ref="BM115" si="1461">2*$AK115*BL115*$AL115/100*$AM115</f>
        <v>0</v>
      </c>
      <c r="BN115" s="447">
        <f t="shared" si="1130"/>
        <v>0</v>
      </c>
      <c r="BO115" s="446">
        <f>IFERROR(HLOOKUP(HLOOKUP(BO$17,$V$18:$AE115,COUNTA($AK$18:$AK115),FALSE),Inputs!$B$58:$H$59,2,FALSE),0)</f>
        <v>0</v>
      </c>
      <c r="BP115" s="447">
        <f t="shared" ref="BP115" si="1462">2*$AK115*BO115*$AL115/100*$AM115</f>
        <v>0</v>
      </c>
      <c r="BQ115" s="447">
        <f t="shared" si="1132"/>
        <v>0</v>
      </c>
      <c r="BR115" s="54"/>
      <c r="BS115" s="103">
        <f t="shared" ca="1" si="1203"/>
        <v>197.76857236549961</v>
      </c>
      <c r="BT115" s="103">
        <f t="shared" ca="1" si="1204"/>
        <v>0</v>
      </c>
      <c r="BU115" s="103">
        <f t="shared" si="1205"/>
        <v>0</v>
      </c>
      <c r="BV115" s="103">
        <f t="shared" si="1206"/>
        <v>0</v>
      </c>
      <c r="BW115" s="152">
        <f t="shared" ca="1" si="1207"/>
        <v>197.76857236549961</v>
      </c>
      <c r="BX115" s="441"/>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188">
        <f t="shared" si="1133"/>
        <v>0.71999999999999975</v>
      </c>
      <c r="DE115" s="188">
        <f t="shared" si="1134"/>
        <v>-0.16000000000000103</v>
      </c>
      <c r="DF115" s="188">
        <f t="shared" si="1135"/>
        <v>-0.3</v>
      </c>
      <c r="DG115" s="188">
        <f t="shared" si="1136"/>
        <v>-0.3</v>
      </c>
      <c r="DH115" s="188">
        <f t="shared" si="1137"/>
        <v>-0.3</v>
      </c>
      <c r="DI115" s="188">
        <f t="shared" si="1138"/>
        <v>-0.3</v>
      </c>
      <c r="DJ115" s="188">
        <f t="shared" si="1139"/>
        <v>-0.3</v>
      </c>
      <c r="DK115" s="188">
        <f t="shared" si="1140"/>
        <v>-0.3</v>
      </c>
      <c r="DL115" s="188">
        <f t="shared" si="1141"/>
        <v>-0.3</v>
      </c>
      <c r="DM115" s="188">
        <f t="shared" si="1142"/>
        <v>-0.3</v>
      </c>
      <c r="DN115" s="189">
        <f t="shared" si="1143"/>
        <v>1.1600000000000001</v>
      </c>
      <c r="DO115" s="189">
        <f t="shared" si="1144"/>
        <v>0.27999999999999936</v>
      </c>
      <c r="DP115" s="189">
        <f t="shared" si="1145"/>
        <v>0</v>
      </c>
      <c r="DQ115" s="189">
        <f t="shared" si="1146"/>
        <v>0</v>
      </c>
      <c r="DR115" s="189">
        <f t="shared" si="1147"/>
        <v>0</v>
      </c>
      <c r="DS115" s="189">
        <f t="shared" si="1148"/>
        <v>0</v>
      </c>
      <c r="DT115" s="189">
        <f t="shared" si="1149"/>
        <v>0</v>
      </c>
      <c r="DU115" s="189">
        <f t="shared" si="1150"/>
        <v>0</v>
      </c>
      <c r="DV115" s="189">
        <f t="shared" si="1151"/>
        <v>0</v>
      </c>
      <c r="DW115" s="189">
        <f t="shared" si="1152"/>
        <v>0</v>
      </c>
      <c r="DX115" s="54"/>
      <c r="DY115" s="54"/>
      <c r="DZ115" s="199">
        <f t="shared" ref="DZ115:DZ137" ca="1" si="1463">$AI115*Uplift*VLOOKUP(MIN(_xlfn.NUMBERVALUE(MROUND($DD115,SIGN($DD115)*0.05)),MAX(INDEX(INDIRECT($AG115&amp;LEFT(DZ$17)),,1))),INDIRECT($AG115&amp;LEFT(DZ$17)),$AH115,FALSE)*IF(LEFT($AG115,3)="Com",$K115,IF(OR($H115=$B$12,$H115=$B$13),1-Downscale,1))</f>
        <v>198762.38428693428</v>
      </c>
      <c r="EA115" s="200">
        <f t="shared" si="1153"/>
        <v>1</v>
      </c>
      <c r="EB115" s="201">
        <f t="shared" ref="EB115:EB137" ca="1" si="1464">$AI115*Uplift*VLOOKUP(MIN(_xlfn.NUMBERVALUE(MROUND($DD115,SIGN($DD115)*0.05)),MAX(INDEX(INDIRECT($AG115&amp;LEFT(EB$17)),,1))),INDIRECT($AG115&amp;LEFT(EB$17)),$AH115,FALSE)</f>
        <v>0</v>
      </c>
      <c r="EC115" s="200">
        <f t="shared" si="1154"/>
        <v>1</v>
      </c>
      <c r="ED115" s="201" cm="1">
        <f t="array" ref="ED115">IF(LEFT($AG115,3)="Res",IF(OR($DN115&gt;External_Threshold,$DD115&gt;0),1*Uplift*AWE*(External),0),0)</f>
        <v>0</v>
      </c>
      <c r="EE115" s="200">
        <f t="shared" si="1155"/>
        <v>1</v>
      </c>
      <c r="EF115" s="201">
        <f t="shared" ref="EF115:EF137" si="1465">$AI115*Uplift*($AO115*Injury+$AP115*Fatality)*EA115</f>
        <v>0</v>
      </c>
      <c r="EG115" s="203">
        <f t="shared" si="1156"/>
        <v>0</v>
      </c>
      <c r="EH115" s="199">
        <f t="shared" ref="EH115:EH137" ca="1" si="1466">$AI115*Uplift*VLOOKUP(MIN(_xlfn.NUMBERVALUE(MROUND($DE115,SIGN($DE115)*0.05)),MAX(INDEX(INDIRECT($AG115&amp;LEFT(EH$17)),,1))),INDIRECT($AG115&amp;LEFT(EH$17)),$AH115,FALSE)*IF(LEFT($AG115,3)="Com",$K115,IF(OR($H115=$B$12,$H115=$B$13),1-Downscale,1))</f>
        <v>0</v>
      </c>
      <c r="EI115" s="200">
        <f t="shared" si="1059"/>
        <v>0</v>
      </c>
      <c r="EJ115" s="201">
        <f t="shared" ref="EJ115:EJ137" ca="1" si="1467">$AI115*Uplift*VLOOKUP(MIN(_xlfn.NUMBERVALUE(MROUND($DE115,SIGN($DE115)*0.05)),MAX(INDEX(INDIRECT($AG115&amp;LEFT(EJ$17)),,1))),INDIRECT($AG115&amp;LEFT(EJ$17)),$AH115,FALSE)</f>
        <v>0</v>
      </c>
      <c r="EK115" s="200">
        <f t="shared" si="1061"/>
        <v>0</v>
      </c>
      <c r="EL115" s="201" cm="1">
        <f t="array" ref="EL115">IF(LEFT($AG115,3)="Res",IF(OR($DO115&gt;External_Threshold,$DE115&gt;0),1*Uplift*AWE*(External),0),0)</f>
        <v>0</v>
      </c>
      <c r="EM115" s="200">
        <f t="shared" si="1062"/>
        <v>1</v>
      </c>
      <c r="EN115" s="201">
        <f t="shared" ref="EN115:EN137" si="1468">$AI115*Uplift*($AR115*Injury+$AS115*Fatality)*EI115</f>
        <v>0</v>
      </c>
      <c r="EO115" s="203">
        <f t="shared" si="1157"/>
        <v>0</v>
      </c>
      <c r="EP115" s="199">
        <f t="shared" ref="EP115:EP137" ca="1" si="1469">$AI115*Uplift*VLOOKUP(MIN(_xlfn.NUMBERVALUE(MROUND($DF115,SIGN($DF115)*0.05)),MAX(INDEX(INDIRECT($AG115&amp;LEFT(EP$17)),,1))),INDIRECT($AG115&amp;LEFT(EP$17)),$AH115,FALSE)*IF(LEFT($AG115,3)="Com",$K115,IF(OR($H115=$B$12,$H115=$B$13),1-Downscale,1))</f>
        <v>0</v>
      </c>
      <c r="EQ115" s="200">
        <f t="shared" si="1065"/>
        <v>0</v>
      </c>
      <c r="ER115" s="201">
        <f t="shared" ref="ER115:ER137" ca="1" si="1470">$AI115*Uplift*VLOOKUP(MIN(_xlfn.NUMBERVALUE(MROUND($DF115,SIGN($DF115)*0.05)),MAX(INDEX(INDIRECT($AG115&amp;LEFT(ER$17)),,1))),INDIRECT($AG115&amp;LEFT(ER$17)),$AH115,FALSE)</f>
        <v>0</v>
      </c>
      <c r="ES115" s="200">
        <f t="shared" si="1067"/>
        <v>0</v>
      </c>
      <c r="ET115" s="201" cm="1">
        <f t="array" ref="ET115">IF(LEFT($AG115,3)="Res",IF(OR($DP115&gt;External_Threshold,$DF115&gt;0),1*Uplift*AWE*(External),0),0)</f>
        <v>0</v>
      </c>
      <c r="EU115" s="200">
        <f t="shared" si="1068"/>
        <v>0</v>
      </c>
      <c r="EV115" s="201">
        <f t="shared" ref="EV115:EV137" si="1471">$AI115*Uplift*($AU115*Injury+$AV115*Fatality)*EQ115</f>
        <v>0</v>
      </c>
      <c r="EW115" s="203">
        <f t="shared" si="1158"/>
        <v>0</v>
      </c>
      <c r="EX115" s="199">
        <f t="shared" ref="EX115:EX137" ca="1" si="1472">$AI115*Uplift*VLOOKUP(MIN(_xlfn.NUMBERVALUE(MROUND($DG115,SIGN($DG115)*0.05)),MAX(INDEX(INDIRECT($AG115&amp;LEFT(EX$17)),,1))),INDIRECT($AG115&amp;LEFT(EX$17)),$AH115,FALSE)*IF(LEFT($AG115,3)="Com",$K115,IF(OR($H115=$B$12,$H115=$B$13),1-Downscale,1))</f>
        <v>0</v>
      </c>
      <c r="EY115" s="200">
        <f t="shared" si="1071"/>
        <v>0</v>
      </c>
      <c r="EZ115" s="201">
        <f t="shared" ref="EZ115:EZ137" ca="1" si="1473">$AI115*Uplift*VLOOKUP(MIN(_xlfn.NUMBERVALUE(MROUND($DG115,SIGN($DG115)*0.05)),MAX(INDEX(INDIRECT($AG115&amp;LEFT(EZ$17)),,1))),INDIRECT($AG115&amp;LEFT(EZ$17)),$AH115,FALSE)</f>
        <v>0</v>
      </c>
      <c r="FA115" s="200">
        <f t="shared" si="1073"/>
        <v>0</v>
      </c>
      <c r="FB115" s="201" cm="1">
        <f t="array" ref="FB115">IF(LEFT($AG115,3)="Res",IF(OR($DQ115&gt;External_Threshold,$DG115&gt;0),1*Uplift*AWE*(External),0),0)</f>
        <v>0</v>
      </c>
      <c r="FC115" s="200">
        <f t="shared" si="1074"/>
        <v>0</v>
      </c>
      <c r="FD115" s="201">
        <f t="shared" si="1075"/>
        <v>0</v>
      </c>
      <c r="FE115" s="203">
        <f t="shared" si="1159"/>
        <v>0</v>
      </c>
      <c r="FF115" s="199">
        <f t="shared" ref="FF115:FF137" ca="1" si="1474">$AI115*Uplift*VLOOKUP(MIN(_xlfn.NUMBERVALUE(MROUND($DH115,SIGN($DH115)*0.05)),MAX(INDEX(INDIRECT($AG115&amp;LEFT(FF$17)),,1))),INDIRECT($AG115&amp;LEFT(FF$17)),$AH115,FALSE)*IF(LEFT($AG115,3)="Com",$K115,IF(OR($H115=$B$12,$H115=$B$13),1-Downscale,1))</f>
        <v>0</v>
      </c>
      <c r="FG115" s="200">
        <f t="shared" si="1077"/>
        <v>0</v>
      </c>
      <c r="FH115" s="201">
        <f t="shared" ref="FH115:FH137" ca="1" si="1475">$AI115*Uplift*VLOOKUP(MIN(_xlfn.NUMBERVALUE(MROUND($DH115,SIGN($DH115)*0.05)),MAX(INDEX(INDIRECT($AG115&amp;LEFT(FH$17)),,1))),INDIRECT($AG115&amp;LEFT(FH$17)),$AH115,FALSE)</f>
        <v>0</v>
      </c>
      <c r="FI115" s="200">
        <f t="shared" si="1079"/>
        <v>0</v>
      </c>
      <c r="FJ115" s="201" cm="1">
        <f t="array" ref="FJ115">IF(LEFT($AG115,3)="Res",IF(OR($DR115&gt;External_Threshold,$DH115&gt;0),1*Uplift*AWE*(External),0),0)</f>
        <v>0</v>
      </c>
      <c r="FK115" s="200">
        <f t="shared" si="1080"/>
        <v>0</v>
      </c>
      <c r="FL115" s="201">
        <f t="shared" ref="FL115:FL137" si="1476">$AI115*Uplift*($BA115*Injury+$BB115*Fatality)*FG115</f>
        <v>0</v>
      </c>
      <c r="FM115" s="203">
        <f t="shared" si="1160"/>
        <v>0</v>
      </c>
      <c r="FN115" s="199">
        <f t="shared" ref="FN115:FN137" ca="1" si="1477">$AI115*Uplift*VLOOKUP(MIN(_xlfn.NUMBERVALUE(MROUND($DI115,SIGN($DI115)*0.05)),MAX(INDEX(INDIRECT($AG115&amp;LEFT(FN$17)),,1))),INDIRECT($AG115&amp;LEFT(FN$17)),$AH115,FALSE)*IF(LEFT($AG115,3)="Com",$K115,IF(OR($H115=$B$12,$H115=$B$13),1-Downscale,1))</f>
        <v>0</v>
      </c>
      <c r="FO115" s="200">
        <f t="shared" si="1083"/>
        <v>0</v>
      </c>
      <c r="FP115" s="201">
        <f t="shared" ref="FP115:FP137" ca="1" si="1478">$AI115*Uplift*VLOOKUP(MIN(_xlfn.NUMBERVALUE(MROUND($DI115,SIGN($DI115)*0.05)),MAX(INDEX(INDIRECT($AG115&amp;LEFT(FP$17)),,1))),INDIRECT($AG115&amp;LEFT(FP$17)),$AH115,FALSE)</f>
        <v>0</v>
      </c>
      <c r="FQ115" s="200">
        <f t="shared" si="1085"/>
        <v>0</v>
      </c>
      <c r="FR115" s="201" cm="1">
        <f t="array" ref="FR115">IF(LEFT($AG115,3)="Res",IF(OR($DS115&gt;External_Threshold,$DI115&gt;0),1*Uplift*AWE*(External),0),0)</f>
        <v>0</v>
      </c>
      <c r="FS115" s="200">
        <f t="shared" si="1086"/>
        <v>0</v>
      </c>
      <c r="FT115" s="201">
        <f t="shared" ref="FT115:FT137" si="1479">$AI115*Uplift*($BD115*Injury+$BE115*Fatality)*FO115</f>
        <v>0</v>
      </c>
      <c r="FU115" s="203">
        <f t="shared" si="1161"/>
        <v>0</v>
      </c>
      <c r="FV115" s="199">
        <f t="shared" ref="FV115:FV137" ca="1" si="1480">$AI115*Uplift*VLOOKUP(MIN(_xlfn.NUMBERVALUE(MROUND($DJ115,SIGN($DJ115)*0.05)),MAX(INDEX(INDIRECT($AG115&amp;LEFT(FV$17)),,1))),INDIRECT($AG115&amp;LEFT(FV$17)),$AH115,FALSE)*IF(LEFT($AG115,3)="Com",$K115,IF(OR($H115=$B$12,$H115=$B$13),1-Downscale,1))</f>
        <v>0</v>
      </c>
      <c r="FW115" s="200">
        <f t="shared" si="1089"/>
        <v>0</v>
      </c>
      <c r="FX115" s="201">
        <f t="shared" ref="FX115:FX137" ca="1" si="1481">$AI115*Uplift*VLOOKUP(MIN(_xlfn.NUMBERVALUE(MROUND($DJ115,SIGN($DJ115)*0.05)),MAX(INDEX(INDIRECT($AG115&amp;LEFT(FX$17)),,1))),INDIRECT($AG115&amp;LEFT(FX$17)),$AH115,FALSE)</f>
        <v>0</v>
      </c>
      <c r="FY115" s="200">
        <f t="shared" si="1091"/>
        <v>0</v>
      </c>
      <c r="FZ115" s="201" cm="1">
        <f t="array" ref="FZ115">IF(LEFT($AG115,3)="Res",IF(OR($DT115&gt;External_Threshold,$DJ115&gt;0),1*Uplift*AWE*(External),0),0)</f>
        <v>0</v>
      </c>
      <c r="GA115" s="200">
        <f t="shared" si="1092"/>
        <v>0</v>
      </c>
      <c r="GB115" s="201">
        <f t="shared" ref="GB115:GB137" si="1482">$AI115*Uplift*($BG115*Injury+$BH115*Fatality)*FW115</f>
        <v>0</v>
      </c>
      <c r="GC115" s="203">
        <f t="shared" si="1162"/>
        <v>0</v>
      </c>
      <c r="GD115" s="199">
        <f t="shared" ref="GD115:GD137" ca="1" si="1483">$AI115*Uplift*VLOOKUP(MIN(_xlfn.NUMBERVALUE(MROUND($DK115,SIGN($DK115)*0.05)),MAX(INDEX(INDIRECT($AG115&amp;LEFT(GD$17)),,1))),INDIRECT($AG115&amp;LEFT(GD$17)),$AH115,FALSE)*IF(LEFT($AG115,3)="Com",$K115,IF(OR($H115=$B$12,$H115=$B$13),1-Downscale,1))</f>
        <v>0</v>
      </c>
      <c r="GE115" s="200">
        <f t="shared" si="1095"/>
        <v>0</v>
      </c>
      <c r="GF115" s="201">
        <f t="shared" ref="GF115:GF137" ca="1" si="1484">$AI115*Uplift*VLOOKUP(MIN(_xlfn.NUMBERVALUE(MROUND($DK115,SIGN($DK115)*0.05)),MAX(INDEX(INDIRECT($AG115&amp;LEFT(GF$17)),,1))),INDIRECT($AG115&amp;LEFT(GF$17)),$AH115,FALSE)</f>
        <v>0</v>
      </c>
      <c r="GG115" s="200">
        <f t="shared" si="1097"/>
        <v>0</v>
      </c>
      <c r="GH115" s="201" cm="1">
        <f t="array" ref="GH115">IF(LEFT($AG115,3)="Res",IF(OR($DU115&gt;External_Threshold,$DK115&gt;0),1*Uplift*AWE*(External),0),0)</f>
        <v>0</v>
      </c>
      <c r="GI115" s="200">
        <f t="shared" si="1098"/>
        <v>0</v>
      </c>
      <c r="GJ115" s="201">
        <f t="shared" ref="GJ115:GJ137" si="1485">$AI115*Uplift*($BJ115*Injury+$BK115*Fatality)*GE115</f>
        <v>0</v>
      </c>
      <c r="GK115" s="203">
        <f t="shared" si="1163"/>
        <v>0</v>
      </c>
      <c r="GL115" s="199">
        <f t="shared" ref="GL115:GL137" ca="1" si="1486">$AI115*Uplift*VLOOKUP(MIN(_xlfn.NUMBERVALUE(MROUND($DL115,SIGN($DL115)*0.05)),MAX(INDEX(INDIRECT($AG115&amp;LEFT(GL$17)),,1))),INDIRECT($AG115&amp;LEFT(GL$17)),$AH115,FALSE)*IF(LEFT($AG115,3)="Com",$K115,IF(OR($H115=$B$12,$H115=$B$13),1-Downscale,1))</f>
        <v>0</v>
      </c>
      <c r="GM115" s="200">
        <f t="shared" si="1101"/>
        <v>0</v>
      </c>
      <c r="GN115" s="201">
        <f t="shared" ref="GN115:GN137" ca="1" si="1487">$AI115*Uplift*VLOOKUP(MIN(_xlfn.NUMBERVALUE(MROUND($DL115,SIGN($DL115)*0.05)),MAX(INDEX(INDIRECT($AG115&amp;LEFT(GN$17)),,1))),INDIRECT($AG115&amp;LEFT(GN$17)),$AH115,FALSE)</f>
        <v>0</v>
      </c>
      <c r="GO115" s="200">
        <f t="shared" si="1103"/>
        <v>0</v>
      </c>
      <c r="GP115" s="201" cm="1">
        <f t="array" ref="GP115">IF(LEFT($AG115,3)="Res",IF(OR($DV115&gt;External_Threshold,$DL115&gt;0),1*Uplift*AWE*(External),0),0)</f>
        <v>0</v>
      </c>
      <c r="GQ115" s="200">
        <f t="shared" si="1104"/>
        <v>0</v>
      </c>
      <c r="GR115" s="201">
        <f t="shared" ref="GR115:GR137" si="1488">$AI115*Uplift*($BM115*Injury+$BN115*Fatality)*GM115</f>
        <v>0</v>
      </c>
      <c r="GS115" s="203">
        <f t="shared" si="1164"/>
        <v>0</v>
      </c>
      <c r="GT115" s="199">
        <f t="shared" ref="GT115:GT137" ca="1" si="1489">$AI115*Uplift*VLOOKUP(MIN(_xlfn.NUMBERVALUE(MROUND($DM115,SIGN($DM115)*0.05)),MAX(INDEX(INDIRECT($AG115&amp;LEFT(GT$17)),,1))),INDIRECT($AG115&amp;LEFT(GT$17)),$AH115,FALSE)*IF(LEFT($AG115,3)="Com",$K115,IF(OR($H115=$B$12,$H115=$B$13),1-Downscale,1))</f>
        <v>0</v>
      </c>
      <c r="GU115" s="200">
        <f t="shared" si="1107"/>
        <v>0</v>
      </c>
      <c r="GV115" s="201">
        <f t="shared" ref="GV115:GV137" ca="1" si="1490">$AI115*Uplift*VLOOKUP(MIN(_xlfn.NUMBERVALUE(MROUND($DM115,SIGN($DM115)*0.05)),MAX(INDEX(INDIRECT($AG115&amp;LEFT(GV$17)),,1))),INDIRECT($AG115&amp;LEFT(GV$17)),$AH115,FALSE)</f>
        <v>0</v>
      </c>
      <c r="GW115" s="200">
        <f t="shared" si="1109"/>
        <v>0</v>
      </c>
      <c r="GX115" s="201" cm="1">
        <f t="array" ref="GX115">IF(LEFT($AG115,3)="Res",IF(OR($DW115&gt;External_Threshold,$DM115&gt;0),1*Uplift*AWE*(External),0),0)</f>
        <v>0</v>
      </c>
      <c r="GY115" s="200">
        <f t="shared" si="1110"/>
        <v>0</v>
      </c>
      <c r="GZ115" s="201">
        <f t="shared" ref="GZ115:GZ137" si="1491">$AI115*Uplift*($BP115*Injury+$BQ115*Fatality)*GM115</f>
        <v>0</v>
      </c>
      <c r="HA115" s="203">
        <f t="shared" si="1165"/>
        <v>0</v>
      </c>
      <c r="HB115" s="54"/>
      <c r="HC115" s="54"/>
      <c r="HD115" s="54"/>
      <c r="HE115" s="54"/>
      <c r="HF115" s="54"/>
      <c r="HG115" s="201">
        <f t="shared" ca="1" si="1166"/>
        <v>198762.38428693428</v>
      </c>
      <c r="HH115" s="201">
        <f t="shared" ca="1" si="1167"/>
        <v>0</v>
      </c>
      <c r="HI115" s="201">
        <f t="shared" ca="1" si="1168"/>
        <v>0</v>
      </c>
      <c r="HJ115" s="201">
        <f t="shared" ca="1" si="1169"/>
        <v>0</v>
      </c>
      <c r="HK115" s="201">
        <f t="shared" ca="1" si="1170"/>
        <v>0</v>
      </c>
      <c r="HL115" s="201">
        <f t="shared" ca="1" si="1171"/>
        <v>0</v>
      </c>
      <c r="HM115" s="201">
        <f t="shared" ca="1" si="1172"/>
        <v>0</v>
      </c>
      <c r="HN115" s="201">
        <f t="shared" ca="1" si="1173"/>
        <v>0</v>
      </c>
      <c r="HO115" s="201">
        <f t="shared" ca="1" si="1174"/>
        <v>0</v>
      </c>
      <c r="HP115" s="201">
        <f t="shared" ca="1" si="1175"/>
        <v>0</v>
      </c>
      <c r="HQ115" s="54"/>
    </row>
    <row r="116" spans="1:225" x14ac:dyDescent="0.3">
      <c r="A116" s="513">
        <v>98</v>
      </c>
      <c r="B116" s="514" t="s">
        <v>521</v>
      </c>
      <c r="C116" s="514" t="s">
        <v>390</v>
      </c>
      <c r="D116" s="514" t="s">
        <v>390</v>
      </c>
      <c r="E116" s="513">
        <v>1</v>
      </c>
      <c r="F116" s="515">
        <v>6.33</v>
      </c>
      <c r="G116" s="515">
        <v>6.06</v>
      </c>
      <c r="H116" s="513">
        <v>8</v>
      </c>
      <c r="I116" s="517">
        <v>1</v>
      </c>
      <c r="J116" s="518" t="s">
        <v>295</v>
      </c>
      <c r="K116" s="513">
        <f t="shared" si="1452"/>
        <v>220</v>
      </c>
      <c r="L116" s="519">
        <v>7.5</v>
      </c>
      <c r="M116" s="519">
        <v>6.6199999999999992</v>
      </c>
      <c r="N116" s="519">
        <v>6.3199999999999994</v>
      </c>
      <c r="O116" s="519">
        <v>6.02</v>
      </c>
      <c r="P116" s="519">
        <v>5.55</v>
      </c>
      <c r="Q116" s="519">
        <v>5.03</v>
      </c>
      <c r="R116" s="519">
        <v>4.2300000000000004</v>
      </c>
      <c r="S116" s="519">
        <v>0</v>
      </c>
      <c r="T116" s="519">
        <v>0</v>
      </c>
      <c r="U116" s="519">
        <v>0</v>
      </c>
      <c r="V116" s="536"/>
      <c r="W116" s="536"/>
      <c r="X116" s="536"/>
      <c r="Y116" s="536"/>
      <c r="Z116" s="536"/>
      <c r="AA116" s="536"/>
      <c r="AB116" s="536"/>
      <c r="AC116" s="536"/>
      <c r="AD116" s="536"/>
      <c r="AE116" s="536"/>
      <c r="AF116" s="54"/>
      <c r="AG116" s="204" t="str">
        <f t="shared" si="1253"/>
        <v>Com1</v>
      </c>
      <c r="AH116" s="204">
        <f t="shared" si="1112"/>
        <v>5</v>
      </c>
      <c r="AI116" s="204">
        <f t="shared" si="1453"/>
        <v>1</v>
      </c>
      <c r="AJ116" s="54"/>
      <c r="AK116" s="74">
        <f>IFERROR(IF(H116&gt;4,0,AI116*Inputs!$C$55),0)</f>
        <v>0</v>
      </c>
      <c r="AL116" s="81">
        <f>IFERROR(Inputs!$C$73,0)</f>
        <v>5</v>
      </c>
      <c r="AM116" s="211">
        <f>IFERROR(Inputs!$C$74,0)</f>
        <v>0.24299999999999999</v>
      </c>
      <c r="AN116" s="446">
        <f>IFERROR(HLOOKUP(HLOOKUP(AN$17,$V$18:$AE116,COUNTA($AK$18:$AK116),FALSE),Inputs!$B$58:$H$59,2,FALSE),0)</f>
        <v>0</v>
      </c>
      <c r="AO116" s="447">
        <f t="shared" si="1113"/>
        <v>0</v>
      </c>
      <c r="AP116" s="447">
        <f t="shared" si="1114"/>
        <v>0</v>
      </c>
      <c r="AQ116" s="446">
        <f>IFERROR(HLOOKUP(HLOOKUP(AQ$17,$V$18:$AE116,COUNTA($AK$18:$AK116),FALSE),Inputs!$B$58:$H$59,2,FALSE),0)</f>
        <v>0</v>
      </c>
      <c r="AR116" s="447">
        <f t="shared" ref="AR116" si="1492">2*$AK116*AQ116*$AL116/100*$AM116</f>
        <v>0</v>
      </c>
      <c r="AS116" s="447">
        <f t="shared" si="1116"/>
        <v>0</v>
      </c>
      <c r="AT116" s="446">
        <f>IFERROR(HLOOKUP(HLOOKUP(AT$17,$V$18:$AE116,COUNTA($AK$18:$AK116),FALSE),Inputs!$B$58:$H$59,2,FALSE),0)</f>
        <v>0</v>
      </c>
      <c r="AU116" s="447">
        <f t="shared" ref="AU116" si="1493">2*$AK116*AT116*$AL116/100*$AM116</f>
        <v>0</v>
      </c>
      <c r="AV116" s="447">
        <f t="shared" si="1118"/>
        <v>0</v>
      </c>
      <c r="AW116" s="446">
        <f>IFERROR(HLOOKUP(HLOOKUP(AW$17,$V$18:$AE116,COUNTA($AK$18:$AK116),FALSE),Inputs!$B$58:$H$59,2,FALSE),0)</f>
        <v>0</v>
      </c>
      <c r="AX116" s="447">
        <f t="shared" ref="AX116" si="1494">2*$AK116*AW116*$AL116/100*$AM116</f>
        <v>0</v>
      </c>
      <c r="AY116" s="447">
        <f t="shared" si="1120"/>
        <v>0</v>
      </c>
      <c r="AZ116" s="446">
        <f>IFERROR(HLOOKUP(HLOOKUP(AZ$17,$V$18:$AE116,COUNTA($AK$18:$AK116),FALSE),Inputs!$B$58:$H$59,2,FALSE),0)</f>
        <v>0</v>
      </c>
      <c r="BA116" s="447">
        <f t="shared" ref="BA116" si="1495">2*$AK116*AZ116*$AL116/100*$AM116</f>
        <v>0</v>
      </c>
      <c r="BB116" s="447">
        <f t="shared" si="1122"/>
        <v>0</v>
      </c>
      <c r="BC116" s="446">
        <f>IFERROR(HLOOKUP(HLOOKUP(BC$17,$V$18:$AE116,COUNTA($AK$18:$AK116),FALSE),Inputs!$B$58:$H$59,2,FALSE),0)</f>
        <v>0</v>
      </c>
      <c r="BD116" s="447">
        <f t="shared" ref="BD116" si="1496">2*$AK116*BC116*$AL116/100*$AM116</f>
        <v>0</v>
      </c>
      <c r="BE116" s="447">
        <f t="shared" si="1124"/>
        <v>0</v>
      </c>
      <c r="BF116" s="446">
        <f>IFERROR(HLOOKUP(HLOOKUP(BF$17,$V$18:$AE116,COUNTA($AK$18:$AK116),FALSE),Inputs!$B$58:$H$59,2,FALSE),0)</f>
        <v>0</v>
      </c>
      <c r="BG116" s="447">
        <f t="shared" ref="BG116" si="1497">2*$AK116*BF116*$AL116/100*$AM116</f>
        <v>0</v>
      </c>
      <c r="BH116" s="447">
        <f t="shared" si="1126"/>
        <v>0</v>
      </c>
      <c r="BI116" s="446">
        <f>IFERROR(HLOOKUP(HLOOKUP(BI$17,$V$18:$AE116,COUNTA($AK$18:$AK116),FALSE),Inputs!$B$58:$H$59,2,FALSE),0)</f>
        <v>0</v>
      </c>
      <c r="BJ116" s="447">
        <f t="shared" ref="BJ116" si="1498">2*$AK116*BI116*$AL116/100*$AM116</f>
        <v>0</v>
      </c>
      <c r="BK116" s="447">
        <f t="shared" si="1128"/>
        <v>0</v>
      </c>
      <c r="BL116" s="446">
        <f>IFERROR(HLOOKUP(HLOOKUP(BL$17,$V$18:$AE116,COUNTA($AK$18:$AK116),FALSE),Inputs!$B$58:$H$59,2,FALSE),0)</f>
        <v>0</v>
      </c>
      <c r="BM116" s="447">
        <f t="shared" ref="BM116" si="1499">2*$AK116*BL116*$AL116/100*$AM116</f>
        <v>0</v>
      </c>
      <c r="BN116" s="447">
        <f t="shared" si="1130"/>
        <v>0</v>
      </c>
      <c r="BO116" s="446">
        <f>IFERROR(HLOOKUP(HLOOKUP(BO$17,$V$18:$AE116,COUNTA($AK$18:$AK116),FALSE),Inputs!$B$58:$H$59,2,FALSE),0)</f>
        <v>0</v>
      </c>
      <c r="BP116" s="447">
        <f t="shared" ref="BP116" si="1500">2*$AK116*BO116*$AL116/100*$AM116</f>
        <v>0</v>
      </c>
      <c r="BQ116" s="447">
        <f t="shared" si="1132"/>
        <v>0</v>
      </c>
      <c r="BR116" s="54"/>
      <c r="BS116" s="103">
        <f t="shared" ca="1" si="1203"/>
        <v>757.63324323484221</v>
      </c>
      <c r="BT116" s="103">
        <f t="shared" ca="1" si="1204"/>
        <v>0</v>
      </c>
      <c r="BU116" s="103">
        <f t="shared" si="1205"/>
        <v>0</v>
      </c>
      <c r="BV116" s="103">
        <f t="shared" si="1206"/>
        <v>0</v>
      </c>
      <c r="BW116" s="152">
        <f t="shared" ca="1" si="1207"/>
        <v>757.63324323484221</v>
      </c>
      <c r="BX116" s="441"/>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188">
        <f t="shared" si="1133"/>
        <v>1.17</v>
      </c>
      <c r="DE116" s="188">
        <f t="shared" si="1134"/>
        <v>0.28999999999999915</v>
      </c>
      <c r="DF116" s="188">
        <f t="shared" si="1135"/>
        <v>-1.0000000000000675E-2</v>
      </c>
      <c r="DG116" s="188">
        <f t="shared" si="1136"/>
        <v>-0.3</v>
      </c>
      <c r="DH116" s="188">
        <f t="shared" si="1137"/>
        <v>-0.3</v>
      </c>
      <c r="DI116" s="188">
        <f t="shared" si="1138"/>
        <v>-0.3</v>
      </c>
      <c r="DJ116" s="188">
        <f t="shared" si="1139"/>
        <v>-0.3</v>
      </c>
      <c r="DK116" s="188">
        <f t="shared" si="1140"/>
        <v>-0.3</v>
      </c>
      <c r="DL116" s="188">
        <f t="shared" si="1141"/>
        <v>-0.3</v>
      </c>
      <c r="DM116" s="188">
        <f t="shared" si="1142"/>
        <v>-0.3</v>
      </c>
      <c r="DN116" s="189">
        <f t="shared" si="1143"/>
        <v>1.4400000000000004</v>
      </c>
      <c r="DO116" s="189">
        <f t="shared" si="1144"/>
        <v>0.55999999999999961</v>
      </c>
      <c r="DP116" s="189">
        <f t="shared" si="1145"/>
        <v>0.25999999999999979</v>
      </c>
      <c r="DQ116" s="189">
        <f t="shared" si="1146"/>
        <v>0</v>
      </c>
      <c r="DR116" s="189">
        <f t="shared" si="1147"/>
        <v>0</v>
      </c>
      <c r="DS116" s="189">
        <f t="shared" si="1148"/>
        <v>0</v>
      </c>
      <c r="DT116" s="189">
        <f t="shared" si="1149"/>
        <v>0</v>
      </c>
      <c r="DU116" s="189">
        <f t="shared" si="1150"/>
        <v>0</v>
      </c>
      <c r="DV116" s="189">
        <f t="shared" si="1151"/>
        <v>0</v>
      </c>
      <c r="DW116" s="189">
        <f t="shared" si="1152"/>
        <v>0</v>
      </c>
      <c r="DX116" s="54"/>
      <c r="DY116" s="54"/>
      <c r="DZ116" s="199">
        <f t="shared" ca="1" si="1463"/>
        <v>370781.47429547401</v>
      </c>
      <c r="EA116" s="200">
        <f t="shared" si="1153"/>
        <v>1</v>
      </c>
      <c r="EB116" s="201">
        <f t="shared" ca="1" si="1464"/>
        <v>0</v>
      </c>
      <c r="EC116" s="200">
        <f t="shared" si="1154"/>
        <v>1</v>
      </c>
      <c r="ED116" s="201" cm="1">
        <f t="array" ref="ED116">IF(LEFT($AG116,3)="Res",IF(OR($DN116&gt;External_Threshold,$DD116&gt;0),1*Uplift*AWE*(External),0),0)</f>
        <v>0</v>
      </c>
      <c r="EE116" s="200">
        <f t="shared" si="1155"/>
        <v>1</v>
      </c>
      <c r="EF116" s="201">
        <f t="shared" si="1465"/>
        <v>0</v>
      </c>
      <c r="EG116" s="203">
        <f t="shared" si="1156"/>
        <v>0</v>
      </c>
      <c r="EH116" s="199">
        <f t="shared" ca="1" si="1466"/>
        <v>155793.85824081983</v>
      </c>
      <c r="EI116" s="200">
        <f t="shared" si="1059"/>
        <v>1</v>
      </c>
      <c r="EJ116" s="201">
        <f t="shared" ca="1" si="1467"/>
        <v>0</v>
      </c>
      <c r="EK116" s="200">
        <f t="shared" si="1061"/>
        <v>1</v>
      </c>
      <c r="EL116" s="201" cm="1">
        <f t="array" ref="EL116">IF(LEFT($AG116,3)="Res",IF(OR($DO116&gt;External_Threshold,$DE116&gt;0),1*Uplift*AWE*(External),0),0)</f>
        <v>0</v>
      </c>
      <c r="EM116" s="200">
        <f t="shared" si="1062"/>
        <v>1</v>
      </c>
      <c r="EN116" s="201">
        <f t="shared" si="1468"/>
        <v>0</v>
      </c>
      <c r="EO116" s="203">
        <f t="shared" si="1157"/>
        <v>0</v>
      </c>
      <c r="EP116" s="199">
        <f t="shared" ca="1" si="1469"/>
        <v>0</v>
      </c>
      <c r="EQ116" s="200">
        <f t="shared" si="1065"/>
        <v>0</v>
      </c>
      <c r="ER116" s="201">
        <f t="shared" ca="1" si="1470"/>
        <v>0</v>
      </c>
      <c r="ES116" s="200">
        <f t="shared" si="1067"/>
        <v>0</v>
      </c>
      <c r="ET116" s="201" cm="1">
        <f t="array" ref="ET116">IF(LEFT($AG116,3)="Res",IF(OR($DP116&gt;External_Threshold,$DF116&gt;0),1*Uplift*AWE*(External),0),0)</f>
        <v>0</v>
      </c>
      <c r="EU116" s="200">
        <f t="shared" si="1068"/>
        <v>1</v>
      </c>
      <c r="EV116" s="201">
        <f t="shared" si="1471"/>
        <v>0</v>
      </c>
      <c r="EW116" s="203">
        <f t="shared" si="1158"/>
        <v>0</v>
      </c>
      <c r="EX116" s="199">
        <f t="shared" ca="1" si="1472"/>
        <v>0</v>
      </c>
      <c r="EY116" s="200">
        <f t="shared" si="1071"/>
        <v>0</v>
      </c>
      <c r="EZ116" s="201">
        <f t="shared" ca="1" si="1473"/>
        <v>0</v>
      </c>
      <c r="FA116" s="200">
        <f t="shared" si="1073"/>
        <v>0</v>
      </c>
      <c r="FB116" s="201" cm="1">
        <f t="array" ref="FB116">IF(LEFT($AG116,3)="Res",IF(OR($DQ116&gt;External_Threshold,$DG116&gt;0),1*Uplift*AWE*(External),0),0)</f>
        <v>0</v>
      </c>
      <c r="FC116" s="200">
        <f t="shared" si="1074"/>
        <v>0</v>
      </c>
      <c r="FD116" s="201">
        <f t="shared" si="1075"/>
        <v>0</v>
      </c>
      <c r="FE116" s="203">
        <f t="shared" si="1159"/>
        <v>0</v>
      </c>
      <c r="FF116" s="199">
        <f t="shared" ca="1" si="1474"/>
        <v>0</v>
      </c>
      <c r="FG116" s="200">
        <f t="shared" si="1077"/>
        <v>0</v>
      </c>
      <c r="FH116" s="201">
        <f t="shared" ca="1" si="1475"/>
        <v>0</v>
      </c>
      <c r="FI116" s="200">
        <f t="shared" si="1079"/>
        <v>0</v>
      </c>
      <c r="FJ116" s="201" cm="1">
        <f t="array" ref="FJ116">IF(LEFT($AG116,3)="Res",IF(OR($DR116&gt;External_Threshold,$DH116&gt;0),1*Uplift*AWE*(External),0),0)</f>
        <v>0</v>
      </c>
      <c r="FK116" s="200">
        <f t="shared" si="1080"/>
        <v>0</v>
      </c>
      <c r="FL116" s="201">
        <f t="shared" si="1476"/>
        <v>0</v>
      </c>
      <c r="FM116" s="203">
        <f t="shared" si="1160"/>
        <v>0</v>
      </c>
      <c r="FN116" s="199">
        <f t="shared" ca="1" si="1477"/>
        <v>0</v>
      </c>
      <c r="FO116" s="200">
        <f t="shared" si="1083"/>
        <v>0</v>
      </c>
      <c r="FP116" s="201">
        <f t="shared" ca="1" si="1478"/>
        <v>0</v>
      </c>
      <c r="FQ116" s="200">
        <f t="shared" si="1085"/>
        <v>0</v>
      </c>
      <c r="FR116" s="201" cm="1">
        <f t="array" ref="FR116">IF(LEFT($AG116,3)="Res",IF(OR($DS116&gt;External_Threshold,$DI116&gt;0),1*Uplift*AWE*(External),0),0)</f>
        <v>0</v>
      </c>
      <c r="FS116" s="200">
        <f t="shared" si="1086"/>
        <v>0</v>
      </c>
      <c r="FT116" s="201">
        <f t="shared" si="1479"/>
        <v>0</v>
      </c>
      <c r="FU116" s="203">
        <f t="shared" si="1161"/>
        <v>0</v>
      </c>
      <c r="FV116" s="199">
        <f t="shared" ca="1" si="1480"/>
        <v>0</v>
      </c>
      <c r="FW116" s="200">
        <f t="shared" si="1089"/>
        <v>0</v>
      </c>
      <c r="FX116" s="201">
        <f t="shared" ca="1" si="1481"/>
        <v>0</v>
      </c>
      <c r="FY116" s="200">
        <f t="shared" si="1091"/>
        <v>0</v>
      </c>
      <c r="FZ116" s="201" cm="1">
        <f t="array" ref="FZ116">IF(LEFT($AG116,3)="Res",IF(OR($DT116&gt;External_Threshold,$DJ116&gt;0),1*Uplift*AWE*(External),0),0)</f>
        <v>0</v>
      </c>
      <c r="GA116" s="200">
        <f t="shared" si="1092"/>
        <v>0</v>
      </c>
      <c r="GB116" s="201">
        <f t="shared" si="1482"/>
        <v>0</v>
      </c>
      <c r="GC116" s="203">
        <f t="shared" si="1162"/>
        <v>0</v>
      </c>
      <c r="GD116" s="199">
        <f t="shared" ca="1" si="1483"/>
        <v>0</v>
      </c>
      <c r="GE116" s="200">
        <f t="shared" si="1095"/>
        <v>0</v>
      </c>
      <c r="GF116" s="201">
        <f t="shared" ca="1" si="1484"/>
        <v>0</v>
      </c>
      <c r="GG116" s="200">
        <f t="shared" si="1097"/>
        <v>0</v>
      </c>
      <c r="GH116" s="201" cm="1">
        <f t="array" ref="GH116">IF(LEFT($AG116,3)="Res",IF(OR($DU116&gt;External_Threshold,$DK116&gt;0),1*Uplift*AWE*(External),0),0)</f>
        <v>0</v>
      </c>
      <c r="GI116" s="200">
        <f t="shared" si="1098"/>
        <v>0</v>
      </c>
      <c r="GJ116" s="201">
        <f t="shared" si="1485"/>
        <v>0</v>
      </c>
      <c r="GK116" s="203">
        <f t="shared" si="1163"/>
        <v>0</v>
      </c>
      <c r="GL116" s="199">
        <f t="shared" ca="1" si="1486"/>
        <v>0</v>
      </c>
      <c r="GM116" s="200">
        <f t="shared" si="1101"/>
        <v>0</v>
      </c>
      <c r="GN116" s="201">
        <f t="shared" ca="1" si="1487"/>
        <v>0</v>
      </c>
      <c r="GO116" s="200">
        <f t="shared" si="1103"/>
        <v>0</v>
      </c>
      <c r="GP116" s="201" cm="1">
        <f t="array" ref="GP116">IF(LEFT($AG116,3)="Res",IF(OR($DV116&gt;External_Threshold,$DL116&gt;0),1*Uplift*AWE*(External),0),0)</f>
        <v>0</v>
      </c>
      <c r="GQ116" s="200">
        <f t="shared" si="1104"/>
        <v>0</v>
      </c>
      <c r="GR116" s="201">
        <f t="shared" si="1488"/>
        <v>0</v>
      </c>
      <c r="GS116" s="203">
        <f t="shared" si="1164"/>
        <v>0</v>
      </c>
      <c r="GT116" s="199">
        <f t="shared" ca="1" si="1489"/>
        <v>0</v>
      </c>
      <c r="GU116" s="200">
        <f t="shared" si="1107"/>
        <v>0</v>
      </c>
      <c r="GV116" s="201">
        <f t="shared" ca="1" si="1490"/>
        <v>0</v>
      </c>
      <c r="GW116" s="200">
        <f t="shared" si="1109"/>
        <v>0</v>
      </c>
      <c r="GX116" s="201" cm="1">
        <f t="array" ref="GX116">IF(LEFT($AG116,3)="Res",IF(OR($DW116&gt;External_Threshold,$DM116&gt;0),1*Uplift*AWE*(External),0),0)</f>
        <v>0</v>
      </c>
      <c r="GY116" s="200">
        <f t="shared" si="1110"/>
        <v>0</v>
      </c>
      <c r="GZ116" s="201">
        <f t="shared" si="1491"/>
        <v>0</v>
      </c>
      <c r="HA116" s="203">
        <f t="shared" si="1165"/>
        <v>0</v>
      </c>
      <c r="HB116" s="54"/>
      <c r="HC116" s="54"/>
      <c r="HD116" s="54"/>
      <c r="HE116" s="54"/>
      <c r="HF116" s="54"/>
      <c r="HG116" s="201">
        <f t="shared" ca="1" si="1166"/>
        <v>370781.47429547401</v>
      </c>
      <c r="HH116" s="201">
        <f t="shared" ca="1" si="1167"/>
        <v>155793.85824081983</v>
      </c>
      <c r="HI116" s="201">
        <f t="shared" ca="1" si="1168"/>
        <v>0</v>
      </c>
      <c r="HJ116" s="201">
        <f t="shared" ca="1" si="1169"/>
        <v>0</v>
      </c>
      <c r="HK116" s="201">
        <f t="shared" ca="1" si="1170"/>
        <v>0</v>
      </c>
      <c r="HL116" s="201">
        <f t="shared" ca="1" si="1171"/>
        <v>0</v>
      </c>
      <c r="HM116" s="201">
        <f t="shared" ca="1" si="1172"/>
        <v>0</v>
      </c>
      <c r="HN116" s="201">
        <f t="shared" ca="1" si="1173"/>
        <v>0</v>
      </c>
      <c r="HO116" s="201">
        <f t="shared" ca="1" si="1174"/>
        <v>0</v>
      </c>
      <c r="HP116" s="201">
        <f t="shared" ca="1" si="1175"/>
        <v>0</v>
      </c>
      <c r="HQ116" s="54"/>
    </row>
    <row r="117" spans="1:225" x14ac:dyDescent="0.3">
      <c r="A117" s="513">
        <v>99</v>
      </c>
      <c r="B117" s="514" t="s">
        <v>522</v>
      </c>
      <c r="C117" s="514" t="s">
        <v>390</v>
      </c>
      <c r="D117" s="514" t="s">
        <v>390</v>
      </c>
      <c r="E117" s="513">
        <v>1</v>
      </c>
      <c r="F117" s="515">
        <v>6.01</v>
      </c>
      <c r="G117" s="515">
        <v>5.7</v>
      </c>
      <c r="H117" s="513">
        <v>5</v>
      </c>
      <c r="I117" s="517">
        <v>1</v>
      </c>
      <c r="J117" s="518" t="s">
        <v>44</v>
      </c>
      <c r="K117" s="513">
        <f t="shared" si="1452"/>
        <v>240</v>
      </c>
      <c r="L117" s="519">
        <v>7.5</v>
      </c>
      <c r="M117" s="519">
        <v>6.6199999999999992</v>
      </c>
      <c r="N117" s="519">
        <v>6.3199999999999994</v>
      </c>
      <c r="O117" s="519">
        <v>6.02</v>
      </c>
      <c r="P117" s="519">
        <v>5.55</v>
      </c>
      <c r="Q117" s="519">
        <v>5.03</v>
      </c>
      <c r="R117" s="519">
        <v>4.2300000000000004</v>
      </c>
      <c r="S117" s="519">
        <v>0</v>
      </c>
      <c r="T117" s="519">
        <v>0</v>
      </c>
      <c r="U117" s="519">
        <v>0</v>
      </c>
      <c r="V117" s="536"/>
      <c r="W117" s="536"/>
      <c r="X117" s="536"/>
      <c r="Y117" s="536"/>
      <c r="Z117" s="536"/>
      <c r="AA117" s="536"/>
      <c r="AB117" s="536"/>
      <c r="AC117" s="536"/>
      <c r="AD117" s="536"/>
      <c r="AE117" s="536"/>
      <c r="AF117" s="54"/>
      <c r="AG117" s="204" t="str">
        <f t="shared" si="1253"/>
        <v>Com1</v>
      </c>
      <c r="AH117" s="204">
        <f t="shared" si="1112"/>
        <v>2</v>
      </c>
      <c r="AI117" s="204">
        <f t="shared" si="1453"/>
        <v>1</v>
      </c>
      <c r="AJ117" s="54"/>
      <c r="AK117" s="74">
        <f>IFERROR(IF(H117&gt;4,0,AI117*Inputs!$C$55),0)</f>
        <v>0</v>
      </c>
      <c r="AL117" s="81">
        <f>IFERROR(Inputs!$C$73,0)</f>
        <v>5</v>
      </c>
      <c r="AM117" s="211">
        <f>IFERROR(Inputs!$C$74,0)</f>
        <v>0.24299999999999999</v>
      </c>
      <c r="AN117" s="446">
        <f>IFERROR(HLOOKUP(HLOOKUP(AN$17,$V$18:$AE117,COUNTA($AK$18:$AK117),FALSE),Inputs!$B$58:$H$59,2,FALSE),0)</f>
        <v>0</v>
      </c>
      <c r="AO117" s="447">
        <f t="shared" si="1113"/>
        <v>0</v>
      </c>
      <c r="AP117" s="447">
        <f t="shared" si="1114"/>
        <v>0</v>
      </c>
      <c r="AQ117" s="446">
        <f>IFERROR(HLOOKUP(HLOOKUP(AQ$17,$V$18:$AE117,COUNTA($AK$18:$AK117),FALSE),Inputs!$B$58:$H$59,2,FALSE),0)</f>
        <v>0</v>
      </c>
      <c r="AR117" s="447">
        <f t="shared" ref="AR117" si="1501">2*$AK117*AQ117*$AL117/100*$AM117</f>
        <v>0</v>
      </c>
      <c r="AS117" s="447">
        <f t="shared" si="1116"/>
        <v>0</v>
      </c>
      <c r="AT117" s="446">
        <f>IFERROR(HLOOKUP(HLOOKUP(AT$17,$V$18:$AE117,COUNTA($AK$18:$AK117),FALSE),Inputs!$B$58:$H$59,2,FALSE),0)</f>
        <v>0</v>
      </c>
      <c r="AU117" s="447">
        <f t="shared" ref="AU117" si="1502">2*$AK117*AT117*$AL117/100*$AM117</f>
        <v>0</v>
      </c>
      <c r="AV117" s="447">
        <f t="shared" si="1118"/>
        <v>0</v>
      </c>
      <c r="AW117" s="446">
        <f>IFERROR(HLOOKUP(HLOOKUP(AW$17,$V$18:$AE117,COUNTA($AK$18:$AK117),FALSE),Inputs!$B$58:$H$59,2,FALSE),0)</f>
        <v>0</v>
      </c>
      <c r="AX117" s="447">
        <f t="shared" ref="AX117" si="1503">2*$AK117*AW117*$AL117/100*$AM117</f>
        <v>0</v>
      </c>
      <c r="AY117" s="447">
        <f t="shared" si="1120"/>
        <v>0</v>
      </c>
      <c r="AZ117" s="446">
        <f>IFERROR(HLOOKUP(HLOOKUP(AZ$17,$V$18:$AE117,COUNTA($AK$18:$AK117),FALSE),Inputs!$B$58:$H$59,2,FALSE),0)</f>
        <v>0</v>
      </c>
      <c r="BA117" s="447">
        <f t="shared" ref="BA117" si="1504">2*$AK117*AZ117*$AL117/100*$AM117</f>
        <v>0</v>
      </c>
      <c r="BB117" s="447">
        <f t="shared" si="1122"/>
        <v>0</v>
      </c>
      <c r="BC117" s="446">
        <f>IFERROR(HLOOKUP(HLOOKUP(BC$17,$V$18:$AE117,COUNTA($AK$18:$AK117),FALSE),Inputs!$B$58:$H$59,2,FALSE),0)</f>
        <v>0</v>
      </c>
      <c r="BD117" s="447">
        <f t="shared" ref="BD117" si="1505">2*$AK117*BC117*$AL117/100*$AM117</f>
        <v>0</v>
      </c>
      <c r="BE117" s="447">
        <f t="shared" si="1124"/>
        <v>0</v>
      </c>
      <c r="BF117" s="446">
        <f>IFERROR(HLOOKUP(HLOOKUP(BF$17,$V$18:$AE117,COUNTA($AK$18:$AK117),FALSE),Inputs!$B$58:$H$59,2,FALSE),0)</f>
        <v>0</v>
      </c>
      <c r="BG117" s="447">
        <f t="shared" ref="BG117" si="1506">2*$AK117*BF117*$AL117/100*$AM117</f>
        <v>0</v>
      </c>
      <c r="BH117" s="447">
        <f t="shared" si="1126"/>
        <v>0</v>
      </c>
      <c r="BI117" s="446">
        <f>IFERROR(HLOOKUP(HLOOKUP(BI$17,$V$18:$AE117,COUNTA($AK$18:$AK117),FALSE),Inputs!$B$58:$H$59,2,FALSE),0)</f>
        <v>0</v>
      </c>
      <c r="BJ117" s="447">
        <f t="shared" ref="BJ117" si="1507">2*$AK117*BI117*$AL117/100*$AM117</f>
        <v>0</v>
      </c>
      <c r="BK117" s="447">
        <f t="shared" si="1128"/>
        <v>0</v>
      </c>
      <c r="BL117" s="446">
        <f>IFERROR(HLOOKUP(HLOOKUP(BL$17,$V$18:$AE117,COUNTA($AK$18:$AK117),FALSE),Inputs!$B$58:$H$59,2,FALSE),0)</f>
        <v>0</v>
      </c>
      <c r="BM117" s="447">
        <f t="shared" ref="BM117" si="1508">2*$AK117*BL117*$AL117/100*$AM117</f>
        <v>0</v>
      </c>
      <c r="BN117" s="447">
        <f t="shared" si="1130"/>
        <v>0</v>
      </c>
      <c r="BO117" s="446">
        <f>IFERROR(HLOOKUP(HLOOKUP(BO$17,$V$18:$AE117,COUNTA($AK$18:$AK117),FALSE),Inputs!$B$58:$H$59,2,FALSE),0)</f>
        <v>0</v>
      </c>
      <c r="BP117" s="447">
        <f t="shared" ref="BP117" si="1509">2*$AK117*BO117*$AL117/100*$AM117</f>
        <v>0</v>
      </c>
      <c r="BQ117" s="447">
        <f t="shared" si="1132"/>
        <v>0</v>
      </c>
      <c r="BR117" s="54"/>
      <c r="BS117" s="103">
        <f t="shared" ca="1" si="1203"/>
        <v>683.87529592888757</v>
      </c>
      <c r="BT117" s="103">
        <f t="shared" ca="1" si="1204"/>
        <v>0</v>
      </c>
      <c r="BU117" s="103">
        <f t="shared" si="1205"/>
        <v>0</v>
      </c>
      <c r="BV117" s="103">
        <f t="shared" si="1206"/>
        <v>0</v>
      </c>
      <c r="BW117" s="152">
        <f t="shared" ca="1" si="1207"/>
        <v>683.87529592888757</v>
      </c>
      <c r="BX117" s="441"/>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188">
        <f t="shared" si="1133"/>
        <v>1.4900000000000002</v>
      </c>
      <c r="DE117" s="188">
        <f t="shared" si="1134"/>
        <v>0.60999999999999943</v>
      </c>
      <c r="DF117" s="188">
        <f t="shared" si="1135"/>
        <v>0.30999999999999961</v>
      </c>
      <c r="DG117" s="188">
        <f t="shared" si="1136"/>
        <v>9.9999999999997868E-3</v>
      </c>
      <c r="DH117" s="188">
        <f t="shared" si="1137"/>
        <v>-0.3</v>
      </c>
      <c r="DI117" s="188">
        <f t="shared" si="1138"/>
        <v>-0.3</v>
      </c>
      <c r="DJ117" s="188">
        <f t="shared" si="1139"/>
        <v>-0.3</v>
      </c>
      <c r="DK117" s="188">
        <f t="shared" si="1140"/>
        <v>-0.3</v>
      </c>
      <c r="DL117" s="188">
        <f t="shared" si="1141"/>
        <v>-0.3</v>
      </c>
      <c r="DM117" s="188">
        <f t="shared" si="1142"/>
        <v>-0.3</v>
      </c>
      <c r="DN117" s="189">
        <f t="shared" si="1143"/>
        <v>1.7999999999999998</v>
      </c>
      <c r="DO117" s="189">
        <f t="shared" si="1144"/>
        <v>0.91999999999999904</v>
      </c>
      <c r="DP117" s="189">
        <f t="shared" si="1145"/>
        <v>0.61999999999999922</v>
      </c>
      <c r="DQ117" s="189">
        <f t="shared" si="1146"/>
        <v>0.3199999999999994</v>
      </c>
      <c r="DR117" s="189">
        <f t="shared" si="1147"/>
        <v>0</v>
      </c>
      <c r="DS117" s="189">
        <f t="shared" si="1148"/>
        <v>0</v>
      </c>
      <c r="DT117" s="189">
        <f t="shared" si="1149"/>
        <v>0</v>
      </c>
      <c r="DU117" s="189">
        <f t="shared" si="1150"/>
        <v>0</v>
      </c>
      <c r="DV117" s="189">
        <f t="shared" si="1151"/>
        <v>0</v>
      </c>
      <c r="DW117" s="189">
        <f t="shared" si="1152"/>
        <v>0</v>
      </c>
      <c r="DX117" s="54"/>
      <c r="DY117" s="54"/>
      <c r="DZ117" s="199">
        <f t="shared" ca="1" si="1463"/>
        <v>178893.73464793104</v>
      </c>
      <c r="EA117" s="200">
        <f t="shared" si="1153"/>
        <v>1</v>
      </c>
      <c r="EB117" s="201">
        <f t="shared" ca="1" si="1464"/>
        <v>0</v>
      </c>
      <c r="EC117" s="200">
        <f t="shared" si="1154"/>
        <v>1</v>
      </c>
      <c r="ED117" s="201" cm="1">
        <f t="array" ref="ED117">IF(LEFT($AG117,3)="Res",IF(OR($DN117&gt;External_Threshold,$DD117&gt;0),1*Uplift*AWE*(External),0),0)</f>
        <v>0</v>
      </c>
      <c r="EE117" s="200">
        <f t="shared" si="1155"/>
        <v>1</v>
      </c>
      <c r="EF117" s="201">
        <f t="shared" si="1465"/>
        <v>0</v>
      </c>
      <c r="EG117" s="203">
        <f t="shared" si="1156"/>
        <v>0</v>
      </c>
      <c r="EH117" s="199">
        <f t="shared" ca="1" si="1466"/>
        <v>96793.015449111088</v>
      </c>
      <c r="EI117" s="200">
        <f t="shared" si="1059"/>
        <v>1</v>
      </c>
      <c r="EJ117" s="201">
        <f t="shared" ca="1" si="1467"/>
        <v>0</v>
      </c>
      <c r="EK117" s="200">
        <f t="shared" si="1061"/>
        <v>1</v>
      </c>
      <c r="EL117" s="201" cm="1">
        <f t="array" ref="EL117">IF(LEFT($AG117,3)="Res",IF(OR($DO117&gt;External_Threshold,$DE117&gt;0),1*Uplift*AWE*(External),0),0)</f>
        <v>0</v>
      </c>
      <c r="EM117" s="200">
        <f t="shared" si="1062"/>
        <v>1</v>
      </c>
      <c r="EN117" s="201">
        <f t="shared" si="1468"/>
        <v>0</v>
      </c>
      <c r="EO117" s="203">
        <f t="shared" si="1157"/>
        <v>0</v>
      </c>
      <c r="EP117" s="199">
        <f t="shared" ca="1" si="1469"/>
        <v>66094.364102165986</v>
      </c>
      <c r="EQ117" s="200">
        <f t="shared" si="1065"/>
        <v>1</v>
      </c>
      <c r="ER117" s="201">
        <f t="shared" ca="1" si="1470"/>
        <v>0</v>
      </c>
      <c r="ES117" s="200">
        <f t="shared" si="1067"/>
        <v>1</v>
      </c>
      <c r="ET117" s="201" cm="1">
        <f t="array" ref="ET117">IF(LEFT($AG117,3)="Res",IF(OR($DP117&gt;External_Threshold,$DF117&gt;0),1*Uplift*AWE*(External),0),0)</f>
        <v>0</v>
      </c>
      <c r="EU117" s="200">
        <f t="shared" si="1068"/>
        <v>1</v>
      </c>
      <c r="EV117" s="201">
        <f t="shared" si="1471"/>
        <v>0</v>
      </c>
      <c r="EW117" s="203">
        <f t="shared" si="1158"/>
        <v>0</v>
      </c>
      <c r="EX117" s="199">
        <f t="shared" ca="1" si="1472"/>
        <v>0</v>
      </c>
      <c r="EY117" s="200">
        <f t="shared" si="1071"/>
        <v>1</v>
      </c>
      <c r="EZ117" s="201">
        <f t="shared" ca="1" si="1473"/>
        <v>0</v>
      </c>
      <c r="FA117" s="200">
        <f t="shared" si="1073"/>
        <v>1</v>
      </c>
      <c r="FB117" s="201" cm="1">
        <f t="array" ref="FB117">IF(LEFT($AG117,3)="Res",IF(OR($DQ117&gt;External_Threshold,$DG117&gt;0),1*Uplift*AWE*(External),0),0)</f>
        <v>0</v>
      </c>
      <c r="FC117" s="200">
        <f t="shared" si="1074"/>
        <v>1</v>
      </c>
      <c r="FD117" s="201">
        <f t="shared" si="1075"/>
        <v>0</v>
      </c>
      <c r="FE117" s="203">
        <f t="shared" si="1159"/>
        <v>0</v>
      </c>
      <c r="FF117" s="199">
        <f t="shared" ca="1" si="1474"/>
        <v>0</v>
      </c>
      <c r="FG117" s="200">
        <f t="shared" si="1077"/>
        <v>0</v>
      </c>
      <c r="FH117" s="201">
        <f t="shared" ca="1" si="1475"/>
        <v>0</v>
      </c>
      <c r="FI117" s="200">
        <f t="shared" si="1079"/>
        <v>0</v>
      </c>
      <c r="FJ117" s="201" cm="1">
        <f t="array" ref="FJ117">IF(LEFT($AG117,3)="Res",IF(OR($DR117&gt;External_Threshold,$DH117&gt;0),1*Uplift*AWE*(External),0),0)</f>
        <v>0</v>
      </c>
      <c r="FK117" s="200">
        <f t="shared" si="1080"/>
        <v>0</v>
      </c>
      <c r="FL117" s="201">
        <f t="shared" si="1476"/>
        <v>0</v>
      </c>
      <c r="FM117" s="203">
        <f t="shared" si="1160"/>
        <v>0</v>
      </c>
      <c r="FN117" s="199">
        <f t="shared" ca="1" si="1477"/>
        <v>0</v>
      </c>
      <c r="FO117" s="200">
        <f t="shared" si="1083"/>
        <v>0</v>
      </c>
      <c r="FP117" s="201">
        <f t="shared" ca="1" si="1478"/>
        <v>0</v>
      </c>
      <c r="FQ117" s="200">
        <f t="shared" si="1085"/>
        <v>0</v>
      </c>
      <c r="FR117" s="201" cm="1">
        <f t="array" ref="FR117">IF(LEFT($AG117,3)="Res",IF(OR($DS117&gt;External_Threshold,$DI117&gt;0),1*Uplift*AWE*(External),0),0)</f>
        <v>0</v>
      </c>
      <c r="FS117" s="200">
        <f t="shared" si="1086"/>
        <v>0</v>
      </c>
      <c r="FT117" s="201">
        <f t="shared" si="1479"/>
        <v>0</v>
      </c>
      <c r="FU117" s="203">
        <f t="shared" si="1161"/>
        <v>0</v>
      </c>
      <c r="FV117" s="199">
        <f t="shared" ca="1" si="1480"/>
        <v>0</v>
      </c>
      <c r="FW117" s="200">
        <f t="shared" si="1089"/>
        <v>0</v>
      </c>
      <c r="FX117" s="201">
        <f t="shared" ca="1" si="1481"/>
        <v>0</v>
      </c>
      <c r="FY117" s="200">
        <f t="shared" si="1091"/>
        <v>0</v>
      </c>
      <c r="FZ117" s="201" cm="1">
        <f t="array" ref="FZ117">IF(LEFT($AG117,3)="Res",IF(OR($DT117&gt;External_Threshold,$DJ117&gt;0),1*Uplift*AWE*(External),0),0)</f>
        <v>0</v>
      </c>
      <c r="GA117" s="200">
        <f t="shared" si="1092"/>
        <v>0</v>
      </c>
      <c r="GB117" s="201">
        <f t="shared" si="1482"/>
        <v>0</v>
      </c>
      <c r="GC117" s="203">
        <f t="shared" si="1162"/>
        <v>0</v>
      </c>
      <c r="GD117" s="199">
        <f t="shared" ca="1" si="1483"/>
        <v>0</v>
      </c>
      <c r="GE117" s="200">
        <f t="shared" si="1095"/>
        <v>0</v>
      </c>
      <c r="GF117" s="201">
        <f t="shared" ca="1" si="1484"/>
        <v>0</v>
      </c>
      <c r="GG117" s="200">
        <f t="shared" si="1097"/>
        <v>0</v>
      </c>
      <c r="GH117" s="201" cm="1">
        <f t="array" ref="GH117">IF(LEFT($AG117,3)="Res",IF(OR($DU117&gt;External_Threshold,$DK117&gt;0),1*Uplift*AWE*(External),0),0)</f>
        <v>0</v>
      </c>
      <c r="GI117" s="200">
        <f t="shared" si="1098"/>
        <v>0</v>
      </c>
      <c r="GJ117" s="201">
        <f t="shared" si="1485"/>
        <v>0</v>
      </c>
      <c r="GK117" s="203">
        <f t="shared" si="1163"/>
        <v>0</v>
      </c>
      <c r="GL117" s="199">
        <f t="shared" ca="1" si="1486"/>
        <v>0</v>
      </c>
      <c r="GM117" s="200">
        <f t="shared" si="1101"/>
        <v>0</v>
      </c>
      <c r="GN117" s="201">
        <f t="shared" ca="1" si="1487"/>
        <v>0</v>
      </c>
      <c r="GO117" s="200">
        <f t="shared" si="1103"/>
        <v>0</v>
      </c>
      <c r="GP117" s="201" cm="1">
        <f t="array" ref="GP117">IF(LEFT($AG117,3)="Res",IF(OR($DV117&gt;External_Threshold,$DL117&gt;0),1*Uplift*AWE*(External),0),0)</f>
        <v>0</v>
      </c>
      <c r="GQ117" s="200">
        <f t="shared" si="1104"/>
        <v>0</v>
      </c>
      <c r="GR117" s="201">
        <f t="shared" si="1488"/>
        <v>0</v>
      </c>
      <c r="GS117" s="203">
        <f t="shared" si="1164"/>
        <v>0</v>
      </c>
      <c r="GT117" s="199">
        <f t="shared" ca="1" si="1489"/>
        <v>0</v>
      </c>
      <c r="GU117" s="200">
        <f t="shared" si="1107"/>
        <v>0</v>
      </c>
      <c r="GV117" s="201">
        <f t="shared" ca="1" si="1490"/>
        <v>0</v>
      </c>
      <c r="GW117" s="200">
        <f t="shared" si="1109"/>
        <v>0</v>
      </c>
      <c r="GX117" s="201" cm="1">
        <f t="array" ref="GX117">IF(LEFT($AG117,3)="Res",IF(OR($DW117&gt;External_Threshold,$DM117&gt;0),1*Uplift*AWE*(External),0),0)</f>
        <v>0</v>
      </c>
      <c r="GY117" s="200">
        <f t="shared" si="1110"/>
        <v>0</v>
      </c>
      <c r="GZ117" s="201">
        <f t="shared" si="1491"/>
        <v>0</v>
      </c>
      <c r="HA117" s="203">
        <f t="shared" si="1165"/>
        <v>0</v>
      </c>
      <c r="HB117" s="54"/>
      <c r="HC117" s="54"/>
      <c r="HD117" s="54"/>
      <c r="HE117" s="54"/>
      <c r="HF117" s="54"/>
      <c r="HG117" s="201">
        <f t="shared" ca="1" si="1166"/>
        <v>178893.73464793104</v>
      </c>
      <c r="HH117" s="201">
        <f t="shared" ca="1" si="1167"/>
        <v>96793.015449111088</v>
      </c>
      <c r="HI117" s="201">
        <f t="shared" ca="1" si="1168"/>
        <v>66094.364102165986</v>
      </c>
      <c r="HJ117" s="201">
        <f t="shared" ca="1" si="1169"/>
        <v>0</v>
      </c>
      <c r="HK117" s="201">
        <f t="shared" ca="1" si="1170"/>
        <v>0</v>
      </c>
      <c r="HL117" s="201">
        <f t="shared" ca="1" si="1171"/>
        <v>0</v>
      </c>
      <c r="HM117" s="201">
        <f t="shared" ca="1" si="1172"/>
        <v>0</v>
      </c>
      <c r="HN117" s="201">
        <f t="shared" ca="1" si="1173"/>
        <v>0</v>
      </c>
      <c r="HO117" s="201">
        <f t="shared" ca="1" si="1174"/>
        <v>0</v>
      </c>
      <c r="HP117" s="201">
        <f t="shared" ca="1" si="1175"/>
        <v>0</v>
      </c>
      <c r="HQ117" s="54"/>
    </row>
    <row r="118" spans="1:225" x14ac:dyDescent="0.3">
      <c r="A118" s="513">
        <v>100</v>
      </c>
      <c r="B118" s="514" t="s">
        <v>523</v>
      </c>
      <c r="C118" s="514" t="s">
        <v>390</v>
      </c>
      <c r="D118" s="514" t="s">
        <v>390</v>
      </c>
      <c r="E118" s="513">
        <v>1</v>
      </c>
      <c r="F118" s="515">
        <v>5.82</v>
      </c>
      <c r="G118" s="515">
        <v>5.34</v>
      </c>
      <c r="H118" s="513">
        <v>6</v>
      </c>
      <c r="I118" s="517">
        <v>1</v>
      </c>
      <c r="J118" s="518" t="s">
        <v>42</v>
      </c>
      <c r="K118" s="513">
        <f t="shared" si="1452"/>
        <v>90</v>
      </c>
      <c r="L118" s="519">
        <v>9.4333333333333105</v>
      </c>
      <c r="M118" s="519">
        <v>6.5</v>
      </c>
      <c r="N118" s="519">
        <v>6.2</v>
      </c>
      <c r="O118" s="519">
        <v>5.9</v>
      </c>
      <c r="P118" s="519">
        <v>5.55</v>
      </c>
      <c r="Q118" s="519">
        <v>5.03</v>
      </c>
      <c r="R118" s="519">
        <v>4.2300000000000004</v>
      </c>
      <c r="S118" s="519">
        <v>0</v>
      </c>
      <c r="T118" s="519">
        <v>0</v>
      </c>
      <c r="U118" s="519">
        <v>0</v>
      </c>
      <c r="V118" s="536"/>
      <c r="W118" s="536"/>
      <c r="X118" s="536"/>
      <c r="Y118" s="536"/>
      <c r="Z118" s="536"/>
      <c r="AA118" s="536"/>
      <c r="AB118" s="536"/>
      <c r="AC118" s="536"/>
      <c r="AD118" s="536"/>
      <c r="AE118" s="536"/>
      <c r="AF118" s="54"/>
      <c r="AG118" s="204" t="str">
        <f t="shared" si="1253"/>
        <v>Com1</v>
      </c>
      <c r="AH118" s="204">
        <f t="shared" si="1112"/>
        <v>3</v>
      </c>
      <c r="AI118" s="204">
        <f t="shared" si="1453"/>
        <v>1</v>
      </c>
      <c r="AJ118" s="54"/>
      <c r="AK118" s="74">
        <f>IFERROR(IF(H118&gt;4,0,AI118*Inputs!$C$55),0)</f>
        <v>0</v>
      </c>
      <c r="AL118" s="81">
        <f>IFERROR(Inputs!$C$73,0)</f>
        <v>5</v>
      </c>
      <c r="AM118" s="211">
        <f>IFERROR(Inputs!$C$74,0)</f>
        <v>0.24299999999999999</v>
      </c>
      <c r="AN118" s="446">
        <f>IFERROR(HLOOKUP(HLOOKUP(AN$17,$V$18:$AE118,COUNTA($AK$18:$AK118),FALSE),Inputs!$B$58:$H$59,2,FALSE),0)</f>
        <v>0</v>
      </c>
      <c r="AO118" s="447">
        <f t="shared" si="1113"/>
        <v>0</v>
      </c>
      <c r="AP118" s="447">
        <f t="shared" si="1114"/>
        <v>0</v>
      </c>
      <c r="AQ118" s="446">
        <f>IFERROR(HLOOKUP(HLOOKUP(AQ$17,$V$18:$AE118,COUNTA($AK$18:$AK118),FALSE),Inputs!$B$58:$H$59,2,FALSE),0)</f>
        <v>0</v>
      </c>
      <c r="AR118" s="447">
        <f t="shared" ref="AR118" si="1510">2*$AK118*AQ118*$AL118/100*$AM118</f>
        <v>0</v>
      </c>
      <c r="AS118" s="447">
        <f t="shared" si="1116"/>
        <v>0</v>
      </c>
      <c r="AT118" s="446">
        <f>IFERROR(HLOOKUP(HLOOKUP(AT$17,$V$18:$AE118,COUNTA($AK$18:$AK118),FALSE),Inputs!$B$58:$H$59,2,FALSE),0)</f>
        <v>0</v>
      </c>
      <c r="AU118" s="447">
        <f t="shared" ref="AU118" si="1511">2*$AK118*AT118*$AL118/100*$AM118</f>
        <v>0</v>
      </c>
      <c r="AV118" s="447">
        <f t="shared" si="1118"/>
        <v>0</v>
      </c>
      <c r="AW118" s="446">
        <f>IFERROR(HLOOKUP(HLOOKUP(AW$17,$V$18:$AE118,COUNTA($AK$18:$AK118),FALSE),Inputs!$B$58:$H$59,2,FALSE),0)</f>
        <v>0</v>
      </c>
      <c r="AX118" s="447">
        <f t="shared" ref="AX118" si="1512">2*$AK118*AW118*$AL118/100*$AM118</f>
        <v>0</v>
      </c>
      <c r="AY118" s="447">
        <f t="shared" si="1120"/>
        <v>0</v>
      </c>
      <c r="AZ118" s="446">
        <f>IFERROR(HLOOKUP(HLOOKUP(AZ$17,$V$18:$AE118,COUNTA($AK$18:$AK118),FALSE),Inputs!$B$58:$H$59,2,FALSE),0)</f>
        <v>0</v>
      </c>
      <c r="BA118" s="447">
        <f t="shared" ref="BA118" si="1513">2*$AK118*AZ118*$AL118/100*$AM118</f>
        <v>0</v>
      </c>
      <c r="BB118" s="447">
        <f t="shared" si="1122"/>
        <v>0</v>
      </c>
      <c r="BC118" s="446">
        <f>IFERROR(HLOOKUP(HLOOKUP(BC$17,$V$18:$AE118,COUNTA($AK$18:$AK118),FALSE),Inputs!$B$58:$H$59,2,FALSE),0)</f>
        <v>0</v>
      </c>
      <c r="BD118" s="447">
        <f t="shared" ref="BD118" si="1514">2*$AK118*BC118*$AL118/100*$AM118</f>
        <v>0</v>
      </c>
      <c r="BE118" s="447">
        <f t="shared" si="1124"/>
        <v>0</v>
      </c>
      <c r="BF118" s="446">
        <f>IFERROR(HLOOKUP(HLOOKUP(BF$17,$V$18:$AE118,COUNTA($AK$18:$AK118),FALSE),Inputs!$B$58:$H$59,2,FALSE),0)</f>
        <v>0</v>
      </c>
      <c r="BG118" s="447">
        <f t="shared" ref="BG118" si="1515">2*$AK118*BF118*$AL118/100*$AM118</f>
        <v>0</v>
      </c>
      <c r="BH118" s="447">
        <f t="shared" si="1126"/>
        <v>0</v>
      </c>
      <c r="BI118" s="446">
        <f>IFERROR(HLOOKUP(HLOOKUP(BI$17,$V$18:$AE118,COUNTA($AK$18:$AK118),FALSE),Inputs!$B$58:$H$59,2,FALSE),0)</f>
        <v>0</v>
      </c>
      <c r="BJ118" s="447">
        <f t="shared" ref="BJ118" si="1516">2*$AK118*BI118*$AL118/100*$AM118</f>
        <v>0</v>
      </c>
      <c r="BK118" s="447">
        <f t="shared" si="1128"/>
        <v>0</v>
      </c>
      <c r="BL118" s="446">
        <f>IFERROR(HLOOKUP(HLOOKUP(BL$17,$V$18:$AE118,COUNTA($AK$18:$AK118),FALSE),Inputs!$B$58:$H$59,2,FALSE),0)</f>
        <v>0</v>
      </c>
      <c r="BM118" s="447">
        <f t="shared" ref="BM118" si="1517">2*$AK118*BL118*$AL118/100*$AM118</f>
        <v>0</v>
      </c>
      <c r="BN118" s="447">
        <f t="shared" si="1130"/>
        <v>0</v>
      </c>
      <c r="BO118" s="446">
        <f>IFERROR(HLOOKUP(HLOOKUP(BO$17,$V$18:$AE118,COUNTA($AK$18:$AK118),FALSE),Inputs!$B$58:$H$59,2,FALSE),0)</f>
        <v>0</v>
      </c>
      <c r="BP118" s="447">
        <f t="shared" ref="BP118" si="1518">2*$AK118*BO118*$AL118/100*$AM118</f>
        <v>0</v>
      </c>
      <c r="BQ118" s="447">
        <f t="shared" si="1132"/>
        <v>0</v>
      </c>
      <c r="BR118" s="54"/>
      <c r="BS118" s="103">
        <f t="shared" ca="1" si="1203"/>
        <v>467.06606654735663</v>
      </c>
      <c r="BT118" s="103">
        <f t="shared" ca="1" si="1204"/>
        <v>0</v>
      </c>
      <c r="BU118" s="103">
        <f t="shared" si="1205"/>
        <v>0</v>
      </c>
      <c r="BV118" s="103">
        <f t="shared" si="1206"/>
        <v>0</v>
      </c>
      <c r="BW118" s="152">
        <f t="shared" ca="1" si="1207"/>
        <v>467.06606654735663</v>
      </c>
      <c r="BX118" s="441"/>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188">
        <f t="shared" si="1133"/>
        <v>3.6133333333333102</v>
      </c>
      <c r="DE118" s="188">
        <f t="shared" si="1134"/>
        <v>0.67999999999999972</v>
      </c>
      <c r="DF118" s="188">
        <f t="shared" si="1135"/>
        <v>0.37999999999999989</v>
      </c>
      <c r="DG118" s="188">
        <f t="shared" si="1136"/>
        <v>8.0000000000000071E-2</v>
      </c>
      <c r="DH118" s="188">
        <f t="shared" si="1137"/>
        <v>-0.27000000000000046</v>
      </c>
      <c r="DI118" s="188">
        <f t="shared" si="1138"/>
        <v>-0.3</v>
      </c>
      <c r="DJ118" s="188">
        <f t="shared" si="1139"/>
        <v>-0.3</v>
      </c>
      <c r="DK118" s="188">
        <f t="shared" si="1140"/>
        <v>-0.3</v>
      </c>
      <c r="DL118" s="188">
        <f t="shared" si="1141"/>
        <v>-0.3</v>
      </c>
      <c r="DM118" s="188">
        <f t="shared" si="1142"/>
        <v>-0.3</v>
      </c>
      <c r="DN118" s="189">
        <f t="shared" si="1143"/>
        <v>4.0933333333333106</v>
      </c>
      <c r="DO118" s="189">
        <f t="shared" si="1144"/>
        <v>1.1600000000000001</v>
      </c>
      <c r="DP118" s="189">
        <f t="shared" si="1145"/>
        <v>0.86000000000000032</v>
      </c>
      <c r="DQ118" s="189">
        <f t="shared" si="1146"/>
        <v>0.5600000000000005</v>
      </c>
      <c r="DR118" s="189">
        <f t="shared" si="1147"/>
        <v>0.20999999999999996</v>
      </c>
      <c r="DS118" s="189">
        <f t="shared" si="1148"/>
        <v>0</v>
      </c>
      <c r="DT118" s="189">
        <f t="shared" si="1149"/>
        <v>0</v>
      </c>
      <c r="DU118" s="189">
        <f t="shared" si="1150"/>
        <v>0</v>
      </c>
      <c r="DV118" s="189">
        <f t="shared" si="1151"/>
        <v>0</v>
      </c>
      <c r="DW118" s="189">
        <f t="shared" si="1152"/>
        <v>0</v>
      </c>
      <c r="DX118" s="54"/>
      <c r="DY118" s="54"/>
      <c r="DZ118" s="199">
        <f t="shared" ca="1" si="1463"/>
        <v>103434.05517428771</v>
      </c>
      <c r="EA118" s="200">
        <f t="shared" si="1153"/>
        <v>1</v>
      </c>
      <c r="EB118" s="201">
        <f t="shared" ca="1" si="1464"/>
        <v>0</v>
      </c>
      <c r="EC118" s="200">
        <f t="shared" si="1154"/>
        <v>1</v>
      </c>
      <c r="ED118" s="201" cm="1">
        <f t="array" ref="ED118">IF(LEFT($AG118,3)="Res",IF(OR($DN118&gt;External_Threshold,$DD118&gt;0),1*Uplift*AWE*(External),0),0)</f>
        <v>0</v>
      </c>
      <c r="EE118" s="200">
        <f t="shared" si="1155"/>
        <v>1</v>
      </c>
      <c r="EF118" s="201">
        <f t="shared" si="1465"/>
        <v>0</v>
      </c>
      <c r="EG118" s="203">
        <f t="shared" si="1156"/>
        <v>0</v>
      </c>
      <c r="EH118" s="199">
        <f t="shared" ca="1" si="1466"/>
        <v>51601.772843723324</v>
      </c>
      <c r="EI118" s="200">
        <f t="shared" si="1059"/>
        <v>1</v>
      </c>
      <c r="EJ118" s="201">
        <f t="shared" ca="1" si="1467"/>
        <v>0</v>
      </c>
      <c r="EK118" s="200">
        <f t="shared" si="1061"/>
        <v>1</v>
      </c>
      <c r="EL118" s="201" cm="1">
        <f t="array" ref="EL118">IF(LEFT($AG118,3)="Res",IF(OR($DO118&gt;External_Threshold,$DE118&gt;0),1*Uplift*AWE*(External),0),0)</f>
        <v>0</v>
      </c>
      <c r="EM118" s="200">
        <f t="shared" si="1062"/>
        <v>1</v>
      </c>
      <c r="EN118" s="201">
        <f t="shared" si="1468"/>
        <v>0</v>
      </c>
      <c r="EO118" s="203">
        <f t="shared" si="1157"/>
        <v>0</v>
      </c>
      <c r="EP118" s="199">
        <f t="shared" ca="1" si="1469"/>
        <v>36800.637372874779</v>
      </c>
      <c r="EQ118" s="200">
        <f t="shared" si="1065"/>
        <v>1</v>
      </c>
      <c r="ER118" s="201">
        <f t="shared" ca="1" si="1470"/>
        <v>0</v>
      </c>
      <c r="ES118" s="200">
        <f t="shared" si="1067"/>
        <v>1</v>
      </c>
      <c r="ET118" s="201" cm="1">
        <f t="array" ref="ET118">IF(LEFT($AG118,3)="Res",IF(OR($DP118&gt;External_Threshold,$DF118&gt;0),1*Uplift*AWE*(External),0),0)</f>
        <v>0</v>
      </c>
      <c r="EU118" s="200">
        <f t="shared" si="1068"/>
        <v>1</v>
      </c>
      <c r="EV118" s="201">
        <f t="shared" si="1471"/>
        <v>0</v>
      </c>
      <c r="EW118" s="203">
        <f t="shared" si="1158"/>
        <v>0</v>
      </c>
      <c r="EX118" s="199">
        <f t="shared" ca="1" si="1472"/>
        <v>11760.027854980204</v>
      </c>
      <c r="EY118" s="200">
        <f t="shared" si="1071"/>
        <v>1</v>
      </c>
      <c r="EZ118" s="201">
        <f t="shared" ca="1" si="1473"/>
        <v>0</v>
      </c>
      <c r="FA118" s="200">
        <f t="shared" si="1073"/>
        <v>1</v>
      </c>
      <c r="FB118" s="201" cm="1">
        <f t="array" ref="FB118">IF(LEFT($AG118,3)="Res",IF(OR($DQ118&gt;External_Threshold,$DG118&gt;0),1*Uplift*AWE*(External),0),0)</f>
        <v>0</v>
      </c>
      <c r="FC118" s="200">
        <f t="shared" si="1074"/>
        <v>1</v>
      </c>
      <c r="FD118" s="201">
        <f t="shared" si="1075"/>
        <v>0</v>
      </c>
      <c r="FE118" s="203">
        <f t="shared" si="1159"/>
        <v>0</v>
      </c>
      <c r="FF118" s="199">
        <f t="shared" ca="1" si="1474"/>
        <v>0</v>
      </c>
      <c r="FG118" s="200">
        <f t="shared" si="1077"/>
        <v>0</v>
      </c>
      <c r="FH118" s="201">
        <f t="shared" ca="1" si="1475"/>
        <v>0</v>
      </c>
      <c r="FI118" s="200">
        <f t="shared" si="1079"/>
        <v>0</v>
      </c>
      <c r="FJ118" s="201" cm="1">
        <f t="array" ref="FJ118">IF(LEFT($AG118,3)="Res",IF(OR($DR118&gt;External_Threshold,$DH118&gt;0),1*Uplift*AWE*(External),0),0)</f>
        <v>0</v>
      </c>
      <c r="FK118" s="200">
        <f t="shared" si="1080"/>
        <v>1</v>
      </c>
      <c r="FL118" s="201">
        <f t="shared" si="1476"/>
        <v>0</v>
      </c>
      <c r="FM118" s="203">
        <f t="shared" si="1160"/>
        <v>0</v>
      </c>
      <c r="FN118" s="199">
        <f t="shared" ca="1" si="1477"/>
        <v>0</v>
      </c>
      <c r="FO118" s="200">
        <f t="shared" si="1083"/>
        <v>0</v>
      </c>
      <c r="FP118" s="201">
        <f t="shared" ca="1" si="1478"/>
        <v>0</v>
      </c>
      <c r="FQ118" s="200">
        <f t="shared" si="1085"/>
        <v>0</v>
      </c>
      <c r="FR118" s="201" cm="1">
        <f t="array" ref="FR118">IF(LEFT($AG118,3)="Res",IF(OR($DS118&gt;External_Threshold,$DI118&gt;0),1*Uplift*AWE*(External),0),0)</f>
        <v>0</v>
      </c>
      <c r="FS118" s="200">
        <f t="shared" si="1086"/>
        <v>0</v>
      </c>
      <c r="FT118" s="201">
        <f t="shared" si="1479"/>
        <v>0</v>
      </c>
      <c r="FU118" s="203">
        <f t="shared" si="1161"/>
        <v>0</v>
      </c>
      <c r="FV118" s="199">
        <f t="shared" ca="1" si="1480"/>
        <v>0</v>
      </c>
      <c r="FW118" s="200">
        <f t="shared" si="1089"/>
        <v>0</v>
      </c>
      <c r="FX118" s="201">
        <f t="shared" ca="1" si="1481"/>
        <v>0</v>
      </c>
      <c r="FY118" s="200">
        <f t="shared" si="1091"/>
        <v>0</v>
      </c>
      <c r="FZ118" s="201" cm="1">
        <f t="array" ref="FZ118">IF(LEFT($AG118,3)="Res",IF(OR($DT118&gt;External_Threshold,$DJ118&gt;0),1*Uplift*AWE*(External),0),0)</f>
        <v>0</v>
      </c>
      <c r="GA118" s="200">
        <f t="shared" si="1092"/>
        <v>0</v>
      </c>
      <c r="GB118" s="201">
        <f t="shared" si="1482"/>
        <v>0</v>
      </c>
      <c r="GC118" s="203">
        <f t="shared" si="1162"/>
        <v>0</v>
      </c>
      <c r="GD118" s="199">
        <f t="shared" ca="1" si="1483"/>
        <v>0</v>
      </c>
      <c r="GE118" s="200">
        <f t="shared" si="1095"/>
        <v>0</v>
      </c>
      <c r="GF118" s="201">
        <f t="shared" ca="1" si="1484"/>
        <v>0</v>
      </c>
      <c r="GG118" s="200">
        <f t="shared" si="1097"/>
        <v>0</v>
      </c>
      <c r="GH118" s="201" cm="1">
        <f t="array" ref="GH118">IF(LEFT($AG118,3)="Res",IF(OR($DU118&gt;External_Threshold,$DK118&gt;0),1*Uplift*AWE*(External),0),0)</f>
        <v>0</v>
      </c>
      <c r="GI118" s="200">
        <f t="shared" si="1098"/>
        <v>0</v>
      </c>
      <c r="GJ118" s="201">
        <f t="shared" si="1485"/>
        <v>0</v>
      </c>
      <c r="GK118" s="203">
        <f t="shared" si="1163"/>
        <v>0</v>
      </c>
      <c r="GL118" s="199">
        <f t="shared" ca="1" si="1486"/>
        <v>0</v>
      </c>
      <c r="GM118" s="200">
        <f t="shared" si="1101"/>
        <v>0</v>
      </c>
      <c r="GN118" s="201">
        <f t="shared" ca="1" si="1487"/>
        <v>0</v>
      </c>
      <c r="GO118" s="200">
        <f t="shared" si="1103"/>
        <v>0</v>
      </c>
      <c r="GP118" s="201" cm="1">
        <f t="array" ref="GP118">IF(LEFT($AG118,3)="Res",IF(OR($DV118&gt;External_Threshold,$DL118&gt;0),1*Uplift*AWE*(External),0),0)</f>
        <v>0</v>
      </c>
      <c r="GQ118" s="200">
        <f t="shared" si="1104"/>
        <v>0</v>
      </c>
      <c r="GR118" s="201">
        <f t="shared" si="1488"/>
        <v>0</v>
      </c>
      <c r="GS118" s="203">
        <f t="shared" si="1164"/>
        <v>0</v>
      </c>
      <c r="GT118" s="199">
        <f t="shared" ca="1" si="1489"/>
        <v>0</v>
      </c>
      <c r="GU118" s="200">
        <f t="shared" si="1107"/>
        <v>0</v>
      </c>
      <c r="GV118" s="201">
        <f t="shared" ca="1" si="1490"/>
        <v>0</v>
      </c>
      <c r="GW118" s="200">
        <f t="shared" si="1109"/>
        <v>0</v>
      </c>
      <c r="GX118" s="201" cm="1">
        <f t="array" ref="GX118">IF(LEFT($AG118,3)="Res",IF(OR($DW118&gt;External_Threshold,$DM118&gt;0),1*Uplift*AWE*(External),0),0)</f>
        <v>0</v>
      </c>
      <c r="GY118" s="200">
        <f t="shared" si="1110"/>
        <v>0</v>
      </c>
      <c r="GZ118" s="201">
        <f t="shared" si="1491"/>
        <v>0</v>
      </c>
      <c r="HA118" s="203">
        <f t="shared" si="1165"/>
        <v>0</v>
      </c>
      <c r="HB118" s="54"/>
      <c r="HC118" s="54"/>
      <c r="HD118" s="54"/>
      <c r="HE118" s="54"/>
      <c r="HF118" s="54"/>
      <c r="HG118" s="201">
        <f t="shared" ca="1" si="1166"/>
        <v>103434.05517428771</v>
      </c>
      <c r="HH118" s="201">
        <f t="shared" ca="1" si="1167"/>
        <v>51601.772843723324</v>
      </c>
      <c r="HI118" s="201">
        <f t="shared" ca="1" si="1168"/>
        <v>36800.637372874779</v>
      </c>
      <c r="HJ118" s="201">
        <f t="shared" ca="1" si="1169"/>
        <v>11760.027854980204</v>
      </c>
      <c r="HK118" s="201">
        <f t="shared" ca="1" si="1170"/>
        <v>0</v>
      </c>
      <c r="HL118" s="201">
        <f t="shared" ca="1" si="1171"/>
        <v>0</v>
      </c>
      <c r="HM118" s="201">
        <f t="shared" ca="1" si="1172"/>
        <v>0</v>
      </c>
      <c r="HN118" s="201">
        <f t="shared" ca="1" si="1173"/>
        <v>0</v>
      </c>
      <c r="HO118" s="201">
        <f t="shared" ca="1" si="1174"/>
        <v>0</v>
      </c>
      <c r="HP118" s="201">
        <f t="shared" ca="1" si="1175"/>
        <v>0</v>
      </c>
      <c r="HQ118" s="54"/>
    </row>
    <row r="119" spans="1:225" x14ac:dyDescent="0.3">
      <c r="A119" s="513">
        <v>101</v>
      </c>
      <c r="B119" s="514" t="s">
        <v>524</v>
      </c>
      <c r="C119" s="514" t="s">
        <v>390</v>
      </c>
      <c r="D119" s="514" t="s">
        <v>390</v>
      </c>
      <c r="E119" s="513">
        <v>1</v>
      </c>
      <c r="F119" s="515">
        <v>7.28</v>
      </c>
      <c r="G119" s="515">
        <v>6.87</v>
      </c>
      <c r="H119" s="513">
        <v>7</v>
      </c>
      <c r="I119" s="517">
        <v>1</v>
      </c>
      <c r="J119" s="518" t="s">
        <v>43</v>
      </c>
      <c r="K119" s="513">
        <f t="shared" si="1452"/>
        <v>180</v>
      </c>
      <c r="L119" s="519">
        <v>7.5</v>
      </c>
      <c r="M119" s="519">
        <v>6.5</v>
      </c>
      <c r="N119" s="519">
        <v>6.2</v>
      </c>
      <c r="O119" s="519">
        <v>5.9</v>
      </c>
      <c r="P119" s="519">
        <v>5.55</v>
      </c>
      <c r="Q119" s="519">
        <v>5.03</v>
      </c>
      <c r="R119" s="519">
        <v>4.2300000000000004</v>
      </c>
      <c r="S119" s="519">
        <v>0</v>
      </c>
      <c r="T119" s="519">
        <v>0</v>
      </c>
      <c r="U119" s="519">
        <v>0</v>
      </c>
      <c r="V119" s="536"/>
      <c r="W119" s="536"/>
      <c r="X119" s="536"/>
      <c r="Y119" s="536"/>
      <c r="Z119" s="536"/>
      <c r="AA119" s="536"/>
      <c r="AB119" s="536"/>
      <c r="AC119" s="536"/>
      <c r="AD119" s="536"/>
      <c r="AE119" s="536"/>
      <c r="AF119" s="54"/>
      <c r="AG119" s="204" t="str">
        <f t="shared" si="1253"/>
        <v>Com1</v>
      </c>
      <c r="AH119" s="204">
        <f t="shared" si="1112"/>
        <v>4</v>
      </c>
      <c r="AI119" s="204">
        <f t="shared" si="1453"/>
        <v>1</v>
      </c>
      <c r="AJ119" s="54"/>
      <c r="AK119" s="74">
        <f>IFERROR(IF(H119&gt;4,0,AI119*Inputs!$C$55),0)</f>
        <v>0</v>
      </c>
      <c r="AL119" s="81">
        <f>IFERROR(Inputs!$C$73,0)</f>
        <v>5</v>
      </c>
      <c r="AM119" s="211">
        <f>IFERROR(Inputs!$C$74,0)</f>
        <v>0.24299999999999999</v>
      </c>
      <c r="AN119" s="446">
        <f>IFERROR(HLOOKUP(HLOOKUP(AN$17,$V$18:$AE119,COUNTA($AK$18:$AK119),FALSE),Inputs!$B$58:$H$59,2,FALSE),0)</f>
        <v>0</v>
      </c>
      <c r="AO119" s="447">
        <f t="shared" si="1113"/>
        <v>0</v>
      </c>
      <c r="AP119" s="447">
        <f t="shared" si="1114"/>
        <v>0</v>
      </c>
      <c r="AQ119" s="446">
        <f>IFERROR(HLOOKUP(HLOOKUP(AQ$17,$V$18:$AE119,COUNTA($AK$18:$AK119),FALSE),Inputs!$B$58:$H$59,2,FALSE),0)</f>
        <v>0</v>
      </c>
      <c r="AR119" s="447">
        <f t="shared" ref="AR119" si="1519">2*$AK119*AQ119*$AL119/100*$AM119</f>
        <v>0</v>
      </c>
      <c r="AS119" s="447">
        <f t="shared" si="1116"/>
        <v>0</v>
      </c>
      <c r="AT119" s="446">
        <f>IFERROR(HLOOKUP(HLOOKUP(AT$17,$V$18:$AE119,COUNTA($AK$18:$AK119),FALSE),Inputs!$B$58:$H$59,2,FALSE),0)</f>
        <v>0</v>
      </c>
      <c r="AU119" s="447">
        <f t="shared" ref="AU119" si="1520">2*$AK119*AT119*$AL119/100*$AM119</f>
        <v>0</v>
      </c>
      <c r="AV119" s="447">
        <f t="shared" si="1118"/>
        <v>0</v>
      </c>
      <c r="AW119" s="446">
        <f>IFERROR(HLOOKUP(HLOOKUP(AW$17,$V$18:$AE119,COUNTA($AK$18:$AK119),FALSE),Inputs!$B$58:$H$59,2,FALSE),0)</f>
        <v>0</v>
      </c>
      <c r="AX119" s="447">
        <f t="shared" ref="AX119" si="1521">2*$AK119*AW119*$AL119/100*$AM119</f>
        <v>0</v>
      </c>
      <c r="AY119" s="447">
        <f t="shared" si="1120"/>
        <v>0</v>
      </c>
      <c r="AZ119" s="446">
        <f>IFERROR(HLOOKUP(HLOOKUP(AZ$17,$V$18:$AE119,COUNTA($AK$18:$AK119),FALSE),Inputs!$B$58:$H$59,2,FALSE),0)</f>
        <v>0</v>
      </c>
      <c r="BA119" s="447">
        <f t="shared" ref="BA119" si="1522">2*$AK119*AZ119*$AL119/100*$AM119</f>
        <v>0</v>
      </c>
      <c r="BB119" s="447">
        <f t="shared" si="1122"/>
        <v>0</v>
      </c>
      <c r="BC119" s="446">
        <f>IFERROR(HLOOKUP(HLOOKUP(BC$17,$V$18:$AE119,COUNTA($AK$18:$AK119),FALSE),Inputs!$B$58:$H$59,2,FALSE),0)</f>
        <v>0</v>
      </c>
      <c r="BD119" s="447">
        <f t="shared" ref="BD119" si="1523">2*$AK119*BC119*$AL119/100*$AM119</f>
        <v>0</v>
      </c>
      <c r="BE119" s="447">
        <f t="shared" si="1124"/>
        <v>0</v>
      </c>
      <c r="BF119" s="446">
        <f>IFERROR(HLOOKUP(HLOOKUP(BF$17,$V$18:$AE119,COUNTA($AK$18:$AK119),FALSE),Inputs!$B$58:$H$59,2,FALSE),0)</f>
        <v>0</v>
      </c>
      <c r="BG119" s="447">
        <f t="shared" ref="BG119" si="1524">2*$AK119*BF119*$AL119/100*$AM119</f>
        <v>0</v>
      </c>
      <c r="BH119" s="447">
        <f t="shared" si="1126"/>
        <v>0</v>
      </c>
      <c r="BI119" s="446">
        <f>IFERROR(HLOOKUP(HLOOKUP(BI$17,$V$18:$AE119,COUNTA($AK$18:$AK119),FALSE),Inputs!$B$58:$H$59,2,FALSE),0)</f>
        <v>0</v>
      </c>
      <c r="BJ119" s="447">
        <f t="shared" ref="BJ119" si="1525">2*$AK119*BI119*$AL119/100*$AM119</f>
        <v>0</v>
      </c>
      <c r="BK119" s="447">
        <f t="shared" si="1128"/>
        <v>0</v>
      </c>
      <c r="BL119" s="446">
        <f>IFERROR(HLOOKUP(HLOOKUP(BL$17,$V$18:$AE119,COUNTA($AK$18:$AK119),FALSE),Inputs!$B$58:$H$59,2,FALSE),0)</f>
        <v>0</v>
      </c>
      <c r="BM119" s="447">
        <f t="shared" ref="BM119" si="1526">2*$AK119*BL119*$AL119/100*$AM119</f>
        <v>0</v>
      </c>
      <c r="BN119" s="447">
        <f t="shared" si="1130"/>
        <v>0</v>
      </c>
      <c r="BO119" s="446">
        <f>IFERROR(HLOOKUP(HLOOKUP(BO$17,$V$18:$AE119,COUNTA($AK$18:$AK119),FALSE),Inputs!$B$58:$H$59,2,FALSE),0)</f>
        <v>0</v>
      </c>
      <c r="BP119" s="447">
        <f t="shared" ref="BP119" si="1527">2*$AK119*BO119*$AL119/100*$AM119</f>
        <v>0</v>
      </c>
      <c r="BQ119" s="447">
        <f t="shared" si="1132"/>
        <v>0</v>
      </c>
      <c r="BR119" s="54"/>
      <c r="BS119" s="103">
        <f t="shared" ca="1" si="1203"/>
        <v>67.607093468519537</v>
      </c>
      <c r="BT119" s="103">
        <f t="shared" ca="1" si="1204"/>
        <v>0</v>
      </c>
      <c r="BU119" s="103">
        <f t="shared" si="1205"/>
        <v>0</v>
      </c>
      <c r="BV119" s="103">
        <f t="shared" si="1206"/>
        <v>0</v>
      </c>
      <c r="BW119" s="152">
        <f t="shared" ca="1" si="1207"/>
        <v>67.607093468519537</v>
      </c>
      <c r="BX119" s="441"/>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188">
        <f t="shared" si="1133"/>
        <v>0.21999999999999975</v>
      </c>
      <c r="DE119" s="188">
        <f t="shared" si="1134"/>
        <v>-0.3</v>
      </c>
      <c r="DF119" s="188">
        <f t="shared" si="1135"/>
        <v>-0.3</v>
      </c>
      <c r="DG119" s="188">
        <f t="shared" si="1136"/>
        <v>-0.3</v>
      </c>
      <c r="DH119" s="188">
        <f t="shared" si="1137"/>
        <v>-0.3</v>
      </c>
      <c r="DI119" s="188">
        <f t="shared" si="1138"/>
        <v>-0.3</v>
      </c>
      <c r="DJ119" s="188">
        <f t="shared" si="1139"/>
        <v>-0.3</v>
      </c>
      <c r="DK119" s="188">
        <f t="shared" si="1140"/>
        <v>-0.3</v>
      </c>
      <c r="DL119" s="188">
        <f t="shared" si="1141"/>
        <v>-0.3</v>
      </c>
      <c r="DM119" s="188">
        <f t="shared" si="1142"/>
        <v>-0.3</v>
      </c>
      <c r="DN119" s="189">
        <f t="shared" si="1143"/>
        <v>0.62999999999999989</v>
      </c>
      <c r="DO119" s="189">
        <f t="shared" si="1144"/>
        <v>0</v>
      </c>
      <c r="DP119" s="189">
        <f t="shared" si="1145"/>
        <v>0</v>
      </c>
      <c r="DQ119" s="189">
        <f t="shared" si="1146"/>
        <v>0</v>
      </c>
      <c r="DR119" s="189">
        <f t="shared" si="1147"/>
        <v>0</v>
      </c>
      <c r="DS119" s="189">
        <f t="shared" si="1148"/>
        <v>0</v>
      </c>
      <c r="DT119" s="189">
        <f t="shared" si="1149"/>
        <v>0</v>
      </c>
      <c r="DU119" s="189">
        <f t="shared" si="1150"/>
        <v>0</v>
      </c>
      <c r="DV119" s="189">
        <f t="shared" si="1151"/>
        <v>0</v>
      </c>
      <c r="DW119" s="189">
        <f t="shared" si="1152"/>
        <v>0</v>
      </c>
      <c r="DX119" s="54"/>
      <c r="DY119" s="54"/>
      <c r="DZ119" s="199">
        <f t="shared" ca="1" si="1463"/>
        <v>67946.827606552295</v>
      </c>
      <c r="EA119" s="200">
        <f t="shared" si="1153"/>
        <v>1</v>
      </c>
      <c r="EB119" s="201">
        <f t="shared" ca="1" si="1464"/>
        <v>0</v>
      </c>
      <c r="EC119" s="200">
        <f t="shared" si="1154"/>
        <v>1</v>
      </c>
      <c r="ED119" s="201" cm="1">
        <f t="array" ref="ED119">IF(LEFT($AG119,3)="Res",IF(OR($DN119&gt;External_Threshold,$DD119&gt;0),1*Uplift*AWE*(External),0),0)</f>
        <v>0</v>
      </c>
      <c r="EE119" s="200">
        <f t="shared" si="1155"/>
        <v>1</v>
      </c>
      <c r="EF119" s="201">
        <f t="shared" si="1465"/>
        <v>0</v>
      </c>
      <c r="EG119" s="203">
        <f t="shared" si="1156"/>
        <v>0</v>
      </c>
      <c r="EH119" s="199">
        <f t="shared" ca="1" si="1466"/>
        <v>0</v>
      </c>
      <c r="EI119" s="200">
        <f t="shared" si="1059"/>
        <v>0</v>
      </c>
      <c r="EJ119" s="201">
        <f t="shared" ca="1" si="1467"/>
        <v>0</v>
      </c>
      <c r="EK119" s="200">
        <f t="shared" si="1061"/>
        <v>0</v>
      </c>
      <c r="EL119" s="201" cm="1">
        <f t="array" ref="EL119">IF(LEFT($AG119,3)="Res",IF(OR($DO119&gt;External_Threshold,$DE119&gt;0),1*Uplift*AWE*(External),0),0)</f>
        <v>0</v>
      </c>
      <c r="EM119" s="200">
        <f t="shared" si="1062"/>
        <v>0</v>
      </c>
      <c r="EN119" s="201">
        <f t="shared" si="1468"/>
        <v>0</v>
      </c>
      <c r="EO119" s="203">
        <f t="shared" si="1157"/>
        <v>0</v>
      </c>
      <c r="EP119" s="199">
        <f t="shared" ca="1" si="1469"/>
        <v>0</v>
      </c>
      <c r="EQ119" s="200">
        <f t="shared" si="1065"/>
        <v>0</v>
      </c>
      <c r="ER119" s="201">
        <f t="shared" ca="1" si="1470"/>
        <v>0</v>
      </c>
      <c r="ES119" s="200">
        <f t="shared" si="1067"/>
        <v>0</v>
      </c>
      <c r="ET119" s="201" cm="1">
        <f t="array" ref="ET119">IF(LEFT($AG119,3)="Res",IF(OR($DP119&gt;External_Threshold,$DF119&gt;0),1*Uplift*AWE*(External),0),0)</f>
        <v>0</v>
      </c>
      <c r="EU119" s="200">
        <f t="shared" si="1068"/>
        <v>0</v>
      </c>
      <c r="EV119" s="201">
        <f t="shared" si="1471"/>
        <v>0</v>
      </c>
      <c r="EW119" s="203">
        <f t="shared" si="1158"/>
        <v>0</v>
      </c>
      <c r="EX119" s="199">
        <f t="shared" ca="1" si="1472"/>
        <v>0</v>
      </c>
      <c r="EY119" s="200">
        <f t="shared" si="1071"/>
        <v>0</v>
      </c>
      <c r="EZ119" s="201">
        <f t="shared" ca="1" si="1473"/>
        <v>0</v>
      </c>
      <c r="FA119" s="200">
        <f t="shared" si="1073"/>
        <v>0</v>
      </c>
      <c r="FB119" s="201" cm="1">
        <f t="array" ref="FB119">IF(LEFT($AG119,3)="Res",IF(OR($DQ119&gt;External_Threshold,$DG119&gt;0),1*Uplift*AWE*(External),0),0)</f>
        <v>0</v>
      </c>
      <c r="FC119" s="200">
        <f t="shared" si="1074"/>
        <v>0</v>
      </c>
      <c r="FD119" s="201">
        <f t="shared" si="1075"/>
        <v>0</v>
      </c>
      <c r="FE119" s="203">
        <f t="shared" si="1159"/>
        <v>0</v>
      </c>
      <c r="FF119" s="199">
        <f t="shared" ca="1" si="1474"/>
        <v>0</v>
      </c>
      <c r="FG119" s="200">
        <f t="shared" si="1077"/>
        <v>0</v>
      </c>
      <c r="FH119" s="201">
        <f t="shared" ca="1" si="1475"/>
        <v>0</v>
      </c>
      <c r="FI119" s="200">
        <f t="shared" si="1079"/>
        <v>0</v>
      </c>
      <c r="FJ119" s="201" cm="1">
        <f t="array" ref="FJ119">IF(LEFT($AG119,3)="Res",IF(OR($DR119&gt;External_Threshold,$DH119&gt;0),1*Uplift*AWE*(External),0),0)</f>
        <v>0</v>
      </c>
      <c r="FK119" s="200">
        <f t="shared" si="1080"/>
        <v>0</v>
      </c>
      <c r="FL119" s="201">
        <f t="shared" si="1476"/>
        <v>0</v>
      </c>
      <c r="FM119" s="203">
        <f t="shared" si="1160"/>
        <v>0</v>
      </c>
      <c r="FN119" s="199">
        <f t="shared" ca="1" si="1477"/>
        <v>0</v>
      </c>
      <c r="FO119" s="200">
        <f t="shared" si="1083"/>
        <v>0</v>
      </c>
      <c r="FP119" s="201">
        <f t="shared" ca="1" si="1478"/>
        <v>0</v>
      </c>
      <c r="FQ119" s="200">
        <f t="shared" si="1085"/>
        <v>0</v>
      </c>
      <c r="FR119" s="201" cm="1">
        <f t="array" ref="FR119">IF(LEFT($AG119,3)="Res",IF(OR($DS119&gt;External_Threshold,$DI119&gt;0),1*Uplift*AWE*(External),0),0)</f>
        <v>0</v>
      </c>
      <c r="FS119" s="200">
        <f t="shared" si="1086"/>
        <v>0</v>
      </c>
      <c r="FT119" s="201">
        <f t="shared" si="1479"/>
        <v>0</v>
      </c>
      <c r="FU119" s="203">
        <f t="shared" si="1161"/>
        <v>0</v>
      </c>
      <c r="FV119" s="199">
        <f t="shared" ca="1" si="1480"/>
        <v>0</v>
      </c>
      <c r="FW119" s="200">
        <f t="shared" si="1089"/>
        <v>0</v>
      </c>
      <c r="FX119" s="201">
        <f t="shared" ca="1" si="1481"/>
        <v>0</v>
      </c>
      <c r="FY119" s="200">
        <f t="shared" si="1091"/>
        <v>0</v>
      </c>
      <c r="FZ119" s="201" cm="1">
        <f t="array" ref="FZ119">IF(LEFT($AG119,3)="Res",IF(OR($DT119&gt;External_Threshold,$DJ119&gt;0),1*Uplift*AWE*(External),0),0)</f>
        <v>0</v>
      </c>
      <c r="GA119" s="200">
        <f t="shared" si="1092"/>
        <v>0</v>
      </c>
      <c r="GB119" s="201">
        <f t="shared" si="1482"/>
        <v>0</v>
      </c>
      <c r="GC119" s="203">
        <f t="shared" si="1162"/>
        <v>0</v>
      </c>
      <c r="GD119" s="199">
        <f t="shared" ca="1" si="1483"/>
        <v>0</v>
      </c>
      <c r="GE119" s="200">
        <f t="shared" si="1095"/>
        <v>0</v>
      </c>
      <c r="GF119" s="201">
        <f t="shared" ca="1" si="1484"/>
        <v>0</v>
      </c>
      <c r="GG119" s="200">
        <f t="shared" si="1097"/>
        <v>0</v>
      </c>
      <c r="GH119" s="201" cm="1">
        <f t="array" ref="GH119">IF(LEFT($AG119,3)="Res",IF(OR($DU119&gt;External_Threshold,$DK119&gt;0),1*Uplift*AWE*(External),0),0)</f>
        <v>0</v>
      </c>
      <c r="GI119" s="200">
        <f t="shared" si="1098"/>
        <v>0</v>
      </c>
      <c r="GJ119" s="201">
        <f t="shared" si="1485"/>
        <v>0</v>
      </c>
      <c r="GK119" s="203">
        <f t="shared" si="1163"/>
        <v>0</v>
      </c>
      <c r="GL119" s="199">
        <f t="shared" ca="1" si="1486"/>
        <v>0</v>
      </c>
      <c r="GM119" s="200">
        <f t="shared" si="1101"/>
        <v>0</v>
      </c>
      <c r="GN119" s="201">
        <f t="shared" ca="1" si="1487"/>
        <v>0</v>
      </c>
      <c r="GO119" s="200">
        <f t="shared" si="1103"/>
        <v>0</v>
      </c>
      <c r="GP119" s="201" cm="1">
        <f t="array" ref="GP119">IF(LEFT($AG119,3)="Res",IF(OR($DV119&gt;External_Threshold,$DL119&gt;0),1*Uplift*AWE*(External),0),0)</f>
        <v>0</v>
      </c>
      <c r="GQ119" s="200">
        <f t="shared" si="1104"/>
        <v>0</v>
      </c>
      <c r="GR119" s="201">
        <f t="shared" si="1488"/>
        <v>0</v>
      </c>
      <c r="GS119" s="203">
        <f t="shared" si="1164"/>
        <v>0</v>
      </c>
      <c r="GT119" s="199">
        <f t="shared" ca="1" si="1489"/>
        <v>0</v>
      </c>
      <c r="GU119" s="200">
        <f t="shared" si="1107"/>
        <v>0</v>
      </c>
      <c r="GV119" s="201">
        <f t="shared" ca="1" si="1490"/>
        <v>0</v>
      </c>
      <c r="GW119" s="200">
        <f t="shared" si="1109"/>
        <v>0</v>
      </c>
      <c r="GX119" s="201" cm="1">
        <f t="array" ref="GX119">IF(LEFT($AG119,3)="Res",IF(OR($DW119&gt;External_Threshold,$DM119&gt;0),1*Uplift*AWE*(External),0),0)</f>
        <v>0</v>
      </c>
      <c r="GY119" s="200">
        <f t="shared" si="1110"/>
        <v>0</v>
      </c>
      <c r="GZ119" s="201">
        <f t="shared" si="1491"/>
        <v>0</v>
      </c>
      <c r="HA119" s="203">
        <f t="shared" si="1165"/>
        <v>0</v>
      </c>
      <c r="HB119" s="54"/>
      <c r="HC119" s="54"/>
      <c r="HD119" s="54"/>
      <c r="HE119" s="54"/>
      <c r="HF119" s="54"/>
      <c r="HG119" s="201">
        <f t="shared" ca="1" si="1166"/>
        <v>67946.827606552295</v>
      </c>
      <c r="HH119" s="201">
        <f t="shared" ca="1" si="1167"/>
        <v>0</v>
      </c>
      <c r="HI119" s="201">
        <f t="shared" ca="1" si="1168"/>
        <v>0</v>
      </c>
      <c r="HJ119" s="201">
        <f t="shared" ca="1" si="1169"/>
        <v>0</v>
      </c>
      <c r="HK119" s="201">
        <f t="shared" ca="1" si="1170"/>
        <v>0</v>
      </c>
      <c r="HL119" s="201">
        <f t="shared" ca="1" si="1171"/>
        <v>0</v>
      </c>
      <c r="HM119" s="201">
        <f t="shared" ca="1" si="1172"/>
        <v>0</v>
      </c>
      <c r="HN119" s="201">
        <f t="shared" ca="1" si="1173"/>
        <v>0</v>
      </c>
      <c r="HO119" s="201">
        <f t="shared" ca="1" si="1174"/>
        <v>0</v>
      </c>
      <c r="HP119" s="201">
        <f t="shared" ca="1" si="1175"/>
        <v>0</v>
      </c>
      <c r="HQ119" s="54"/>
    </row>
    <row r="120" spans="1:225" x14ac:dyDescent="0.3">
      <c r="A120" s="513">
        <v>102</v>
      </c>
      <c r="B120" s="514" t="s">
        <v>525</v>
      </c>
      <c r="C120" s="514" t="s">
        <v>390</v>
      </c>
      <c r="D120" s="514" t="s">
        <v>390</v>
      </c>
      <c r="E120" s="513">
        <v>1</v>
      </c>
      <c r="F120" s="515">
        <v>4.95</v>
      </c>
      <c r="G120" s="515">
        <v>4.28</v>
      </c>
      <c r="H120" s="513">
        <v>8</v>
      </c>
      <c r="I120" s="517">
        <v>1</v>
      </c>
      <c r="J120" s="518" t="s">
        <v>44</v>
      </c>
      <c r="K120" s="513">
        <f t="shared" si="1452"/>
        <v>240</v>
      </c>
      <c r="L120" s="519">
        <v>8.7199999999999989</v>
      </c>
      <c r="M120" s="519">
        <v>6.5299999999999994</v>
      </c>
      <c r="N120" s="519">
        <v>6.2299999999999995</v>
      </c>
      <c r="O120" s="519">
        <v>5.93</v>
      </c>
      <c r="P120" s="519">
        <v>5.47</v>
      </c>
      <c r="Q120" s="519">
        <v>5</v>
      </c>
      <c r="R120" s="519">
        <v>4.2</v>
      </c>
      <c r="S120" s="519">
        <v>0</v>
      </c>
      <c r="T120" s="519">
        <v>0</v>
      </c>
      <c r="U120" s="519">
        <v>0</v>
      </c>
      <c r="V120" s="536"/>
      <c r="W120" s="536"/>
      <c r="X120" s="536"/>
      <c r="Y120" s="536"/>
      <c r="Z120" s="536"/>
      <c r="AA120" s="536"/>
      <c r="AB120" s="536"/>
      <c r="AC120" s="536"/>
      <c r="AD120" s="536"/>
      <c r="AE120" s="536"/>
      <c r="AF120" s="54"/>
      <c r="AG120" s="204" t="str">
        <f t="shared" si="1253"/>
        <v>Com1</v>
      </c>
      <c r="AH120" s="204">
        <f t="shared" si="1112"/>
        <v>5</v>
      </c>
      <c r="AI120" s="204">
        <f t="shared" si="1453"/>
        <v>1</v>
      </c>
      <c r="AJ120" s="54"/>
      <c r="AK120" s="74">
        <f>IFERROR(IF(H120&gt;4,0,AI120*Inputs!$C$55),0)</f>
        <v>0</v>
      </c>
      <c r="AL120" s="81">
        <f>IFERROR(Inputs!$C$73,0)</f>
        <v>5</v>
      </c>
      <c r="AM120" s="211">
        <f>IFERROR(Inputs!$C$74,0)</f>
        <v>0.24299999999999999</v>
      </c>
      <c r="AN120" s="446">
        <f>IFERROR(HLOOKUP(HLOOKUP(AN$17,$V$18:$AE120,COUNTA($AK$18:$AK120),FALSE),Inputs!$B$58:$H$59,2,FALSE),0)</f>
        <v>0</v>
      </c>
      <c r="AO120" s="447">
        <f t="shared" si="1113"/>
        <v>0</v>
      </c>
      <c r="AP120" s="447">
        <f t="shared" si="1114"/>
        <v>0</v>
      </c>
      <c r="AQ120" s="446">
        <f>IFERROR(HLOOKUP(HLOOKUP(AQ$17,$V$18:$AE120,COUNTA($AK$18:$AK120),FALSE),Inputs!$B$58:$H$59,2,FALSE),0)</f>
        <v>0</v>
      </c>
      <c r="AR120" s="447">
        <f t="shared" ref="AR120" si="1528">2*$AK120*AQ120*$AL120/100*$AM120</f>
        <v>0</v>
      </c>
      <c r="AS120" s="447">
        <f t="shared" si="1116"/>
        <v>0</v>
      </c>
      <c r="AT120" s="446">
        <f>IFERROR(HLOOKUP(HLOOKUP(AT$17,$V$18:$AE120,COUNTA($AK$18:$AK120),FALSE),Inputs!$B$58:$H$59,2,FALSE),0)</f>
        <v>0</v>
      </c>
      <c r="AU120" s="447">
        <f t="shared" ref="AU120" si="1529">2*$AK120*AT120*$AL120/100*$AM120</f>
        <v>0</v>
      </c>
      <c r="AV120" s="447">
        <f t="shared" si="1118"/>
        <v>0</v>
      </c>
      <c r="AW120" s="446">
        <f>IFERROR(HLOOKUP(HLOOKUP(AW$17,$V$18:$AE120,COUNTA($AK$18:$AK120),FALSE),Inputs!$B$58:$H$59,2,FALSE),0)</f>
        <v>0</v>
      </c>
      <c r="AX120" s="447">
        <f t="shared" ref="AX120" si="1530">2*$AK120*AW120*$AL120/100*$AM120</f>
        <v>0</v>
      </c>
      <c r="AY120" s="447">
        <f t="shared" si="1120"/>
        <v>0</v>
      </c>
      <c r="AZ120" s="446">
        <f>IFERROR(HLOOKUP(HLOOKUP(AZ$17,$V$18:$AE120,COUNTA($AK$18:$AK120),FALSE),Inputs!$B$58:$H$59,2,FALSE),0)</f>
        <v>0</v>
      </c>
      <c r="BA120" s="447">
        <f t="shared" ref="BA120" si="1531">2*$AK120*AZ120*$AL120/100*$AM120</f>
        <v>0</v>
      </c>
      <c r="BB120" s="447">
        <f t="shared" si="1122"/>
        <v>0</v>
      </c>
      <c r="BC120" s="446">
        <f>IFERROR(HLOOKUP(HLOOKUP(BC$17,$V$18:$AE120,COUNTA($AK$18:$AK120),FALSE),Inputs!$B$58:$H$59,2,FALSE),0)</f>
        <v>0</v>
      </c>
      <c r="BD120" s="447">
        <f t="shared" ref="BD120" si="1532">2*$AK120*BC120*$AL120/100*$AM120</f>
        <v>0</v>
      </c>
      <c r="BE120" s="447">
        <f t="shared" si="1124"/>
        <v>0</v>
      </c>
      <c r="BF120" s="446">
        <f>IFERROR(HLOOKUP(HLOOKUP(BF$17,$V$18:$AE120,COUNTA($AK$18:$AK120),FALSE),Inputs!$B$58:$H$59,2,FALSE),0)</f>
        <v>0</v>
      </c>
      <c r="BG120" s="447">
        <f t="shared" ref="BG120" si="1533">2*$AK120*BF120*$AL120/100*$AM120</f>
        <v>0</v>
      </c>
      <c r="BH120" s="447">
        <f t="shared" si="1126"/>
        <v>0</v>
      </c>
      <c r="BI120" s="446">
        <f>IFERROR(HLOOKUP(HLOOKUP(BI$17,$V$18:$AE120,COUNTA($AK$18:$AK120),FALSE),Inputs!$B$58:$H$59,2,FALSE),0)</f>
        <v>0</v>
      </c>
      <c r="BJ120" s="447">
        <f t="shared" ref="BJ120" si="1534">2*$AK120*BI120*$AL120/100*$AM120</f>
        <v>0</v>
      </c>
      <c r="BK120" s="447">
        <f t="shared" si="1128"/>
        <v>0</v>
      </c>
      <c r="BL120" s="446">
        <f>IFERROR(HLOOKUP(HLOOKUP(BL$17,$V$18:$AE120,COUNTA($AK$18:$AK120),FALSE),Inputs!$B$58:$H$59,2,FALSE),0)</f>
        <v>0</v>
      </c>
      <c r="BM120" s="447">
        <f t="shared" ref="BM120" si="1535">2*$AK120*BL120*$AL120/100*$AM120</f>
        <v>0</v>
      </c>
      <c r="BN120" s="447">
        <f t="shared" si="1130"/>
        <v>0</v>
      </c>
      <c r="BO120" s="446">
        <f>IFERROR(HLOOKUP(HLOOKUP(BO$17,$V$18:$AE120,COUNTA($AK$18:$AK120),FALSE),Inputs!$B$58:$H$59,2,FALSE),0)</f>
        <v>0</v>
      </c>
      <c r="BP120" s="447">
        <f t="shared" ref="BP120" si="1536">2*$AK120*BO120*$AL120/100*$AM120</f>
        <v>0</v>
      </c>
      <c r="BQ120" s="447">
        <f t="shared" si="1132"/>
        <v>0</v>
      </c>
      <c r="BR120" s="54"/>
      <c r="BS120" s="103">
        <f t="shared" ca="1" si="1203"/>
        <v>11895.076973759184</v>
      </c>
      <c r="BT120" s="103">
        <f t="shared" ca="1" si="1204"/>
        <v>0</v>
      </c>
      <c r="BU120" s="103">
        <f t="shared" si="1205"/>
        <v>0</v>
      </c>
      <c r="BV120" s="103">
        <f t="shared" si="1206"/>
        <v>0</v>
      </c>
      <c r="BW120" s="152">
        <f t="shared" ca="1" si="1207"/>
        <v>11895.076973759184</v>
      </c>
      <c r="BX120" s="441"/>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188">
        <f t="shared" si="1133"/>
        <v>3.7699999999999987</v>
      </c>
      <c r="DE120" s="188">
        <f t="shared" si="1134"/>
        <v>1.5799999999999992</v>
      </c>
      <c r="DF120" s="188">
        <f t="shared" si="1135"/>
        <v>1.2799999999999994</v>
      </c>
      <c r="DG120" s="188">
        <f t="shared" si="1136"/>
        <v>0.97999999999999954</v>
      </c>
      <c r="DH120" s="188">
        <f t="shared" si="1137"/>
        <v>0.51999999999999957</v>
      </c>
      <c r="DI120" s="188">
        <f t="shared" si="1138"/>
        <v>4.9999999999999822E-2</v>
      </c>
      <c r="DJ120" s="188">
        <f t="shared" si="1139"/>
        <v>-0.3</v>
      </c>
      <c r="DK120" s="188">
        <f t="shared" si="1140"/>
        <v>-0.3</v>
      </c>
      <c r="DL120" s="188">
        <f t="shared" si="1141"/>
        <v>-0.3</v>
      </c>
      <c r="DM120" s="188">
        <f t="shared" si="1142"/>
        <v>-0.3</v>
      </c>
      <c r="DN120" s="189">
        <f t="shared" si="1143"/>
        <v>4.4399999999999986</v>
      </c>
      <c r="DO120" s="189">
        <f t="shared" si="1144"/>
        <v>2.2499999999999991</v>
      </c>
      <c r="DP120" s="189">
        <f t="shared" si="1145"/>
        <v>1.9499999999999993</v>
      </c>
      <c r="DQ120" s="189">
        <f t="shared" si="1146"/>
        <v>1.6499999999999995</v>
      </c>
      <c r="DR120" s="189">
        <f t="shared" si="1147"/>
        <v>1.1899999999999995</v>
      </c>
      <c r="DS120" s="189">
        <f t="shared" si="1148"/>
        <v>0.71999999999999975</v>
      </c>
      <c r="DT120" s="189">
        <f t="shared" si="1149"/>
        <v>0</v>
      </c>
      <c r="DU120" s="189">
        <f t="shared" si="1150"/>
        <v>0</v>
      </c>
      <c r="DV120" s="189">
        <f t="shared" si="1151"/>
        <v>0</v>
      </c>
      <c r="DW120" s="189">
        <f t="shared" si="1152"/>
        <v>0</v>
      </c>
      <c r="DX120" s="54"/>
      <c r="DY120" s="54"/>
      <c r="DZ120" s="199">
        <f t="shared" ca="1" si="1463"/>
        <v>555271.74163496622</v>
      </c>
      <c r="EA120" s="200">
        <f t="shared" si="1153"/>
        <v>1</v>
      </c>
      <c r="EB120" s="201">
        <f t="shared" ca="1" si="1464"/>
        <v>0</v>
      </c>
      <c r="EC120" s="200">
        <f t="shared" si="1154"/>
        <v>1</v>
      </c>
      <c r="ED120" s="201" cm="1">
        <f t="array" ref="ED120">IF(LEFT($AG120,3)="Res",IF(OR($DN120&gt;External_Threshold,$DD120&gt;0),1*Uplift*AWE*(External),0),0)</f>
        <v>0</v>
      </c>
      <c r="EE120" s="200">
        <f t="shared" si="1155"/>
        <v>1</v>
      </c>
      <c r="EF120" s="201">
        <f t="shared" si="1465"/>
        <v>0</v>
      </c>
      <c r="EG120" s="203">
        <f t="shared" si="1156"/>
        <v>0</v>
      </c>
      <c r="EH120" s="199">
        <f t="shared" ca="1" si="1466"/>
        <v>470609.60621069797</v>
      </c>
      <c r="EI120" s="200">
        <f t="shared" si="1059"/>
        <v>1</v>
      </c>
      <c r="EJ120" s="201">
        <f t="shared" ca="1" si="1467"/>
        <v>0</v>
      </c>
      <c r="EK120" s="200">
        <f t="shared" si="1061"/>
        <v>1</v>
      </c>
      <c r="EL120" s="201" cm="1">
        <f t="array" ref="EL120">IF(LEFT($AG120,3)="Res",IF(OR($DO120&gt;External_Threshold,$DE120&gt;0),1*Uplift*AWE*(External),0),0)</f>
        <v>0</v>
      </c>
      <c r="EM120" s="200">
        <f t="shared" si="1062"/>
        <v>1</v>
      </c>
      <c r="EN120" s="201">
        <f t="shared" si="1468"/>
        <v>0</v>
      </c>
      <c r="EO120" s="203">
        <f t="shared" si="1157"/>
        <v>0</v>
      </c>
      <c r="EP120" s="199">
        <f t="shared" ca="1" si="1469"/>
        <v>438818.16914835805</v>
      </c>
      <c r="EQ120" s="200">
        <f t="shared" si="1065"/>
        <v>1</v>
      </c>
      <c r="ER120" s="201">
        <f t="shared" ca="1" si="1470"/>
        <v>0</v>
      </c>
      <c r="ES120" s="200">
        <f t="shared" si="1067"/>
        <v>1</v>
      </c>
      <c r="ET120" s="201" cm="1">
        <f t="array" ref="ET120">IF(LEFT($AG120,3)="Res",IF(OR($DP120&gt;External_Threshold,$DF120&gt;0),1*Uplift*AWE*(External),0),0)</f>
        <v>0</v>
      </c>
      <c r="EU120" s="200">
        <f t="shared" si="1068"/>
        <v>1</v>
      </c>
      <c r="EV120" s="201">
        <f t="shared" si="1471"/>
        <v>0</v>
      </c>
      <c r="EW120" s="203">
        <f t="shared" si="1158"/>
        <v>0</v>
      </c>
      <c r="EX120" s="199">
        <f t="shared" ca="1" si="1472"/>
        <v>360942.80816706782</v>
      </c>
      <c r="EY120" s="200">
        <f t="shared" si="1071"/>
        <v>1</v>
      </c>
      <c r="EZ120" s="201">
        <f t="shared" ca="1" si="1473"/>
        <v>0</v>
      </c>
      <c r="FA120" s="200">
        <f t="shared" si="1073"/>
        <v>1</v>
      </c>
      <c r="FB120" s="201" cm="1">
        <f t="array" ref="FB120">IF(LEFT($AG120,3)="Res",IF(OR($DQ120&gt;External_Threshold,$DG120&gt;0),1*Uplift*AWE*(External),0),0)</f>
        <v>0</v>
      </c>
      <c r="FC120" s="200">
        <f t="shared" si="1074"/>
        <v>1</v>
      </c>
      <c r="FD120" s="201">
        <f t="shared" si="1075"/>
        <v>0</v>
      </c>
      <c r="FE120" s="203">
        <f t="shared" si="1159"/>
        <v>0</v>
      </c>
      <c r="FF120" s="199">
        <f t="shared" ca="1" si="1474"/>
        <v>222583.19571461846</v>
      </c>
      <c r="FG120" s="200">
        <f t="shared" si="1077"/>
        <v>1</v>
      </c>
      <c r="FH120" s="201">
        <f t="shared" ca="1" si="1475"/>
        <v>0</v>
      </c>
      <c r="FI120" s="200">
        <f t="shared" si="1079"/>
        <v>1</v>
      </c>
      <c r="FJ120" s="201" cm="1">
        <f t="array" ref="FJ120">IF(LEFT($AG120,3)="Res",IF(OR($DR120&gt;External_Threshold,$DH120&gt;0),1*Uplift*AWE*(External),0),0)</f>
        <v>0</v>
      </c>
      <c r="FK120" s="200">
        <f t="shared" si="1080"/>
        <v>1</v>
      </c>
      <c r="FL120" s="201">
        <f t="shared" si="1476"/>
        <v>0</v>
      </c>
      <c r="FM120" s="203">
        <f t="shared" si="1160"/>
        <v>0</v>
      </c>
      <c r="FN120" s="199">
        <f t="shared" ca="1" si="1477"/>
        <v>31360.074279947214</v>
      </c>
      <c r="FO120" s="200">
        <f t="shared" si="1083"/>
        <v>1</v>
      </c>
      <c r="FP120" s="201">
        <f t="shared" ca="1" si="1478"/>
        <v>0</v>
      </c>
      <c r="FQ120" s="200">
        <f t="shared" si="1085"/>
        <v>1</v>
      </c>
      <c r="FR120" s="201" cm="1">
        <f t="array" ref="FR120">IF(LEFT($AG120,3)="Res",IF(OR($DS120&gt;External_Threshold,$DI120&gt;0),1*Uplift*AWE*(External),0),0)</f>
        <v>0</v>
      </c>
      <c r="FS120" s="200">
        <f t="shared" si="1086"/>
        <v>1</v>
      </c>
      <c r="FT120" s="201">
        <f t="shared" si="1479"/>
        <v>0</v>
      </c>
      <c r="FU120" s="203">
        <f t="shared" si="1161"/>
        <v>0</v>
      </c>
      <c r="FV120" s="199">
        <f t="shared" ca="1" si="1480"/>
        <v>0</v>
      </c>
      <c r="FW120" s="200">
        <f t="shared" si="1089"/>
        <v>0</v>
      </c>
      <c r="FX120" s="201">
        <f t="shared" ca="1" si="1481"/>
        <v>0</v>
      </c>
      <c r="FY120" s="200">
        <f t="shared" si="1091"/>
        <v>0</v>
      </c>
      <c r="FZ120" s="201" cm="1">
        <f t="array" ref="FZ120">IF(LEFT($AG120,3)="Res",IF(OR($DT120&gt;External_Threshold,$DJ120&gt;0),1*Uplift*AWE*(External),0),0)</f>
        <v>0</v>
      </c>
      <c r="GA120" s="200">
        <f t="shared" si="1092"/>
        <v>0</v>
      </c>
      <c r="GB120" s="201">
        <f t="shared" si="1482"/>
        <v>0</v>
      </c>
      <c r="GC120" s="203">
        <f t="shared" si="1162"/>
        <v>0</v>
      </c>
      <c r="GD120" s="199">
        <f t="shared" ca="1" si="1483"/>
        <v>0</v>
      </c>
      <c r="GE120" s="200">
        <f t="shared" si="1095"/>
        <v>0</v>
      </c>
      <c r="GF120" s="201">
        <f t="shared" ca="1" si="1484"/>
        <v>0</v>
      </c>
      <c r="GG120" s="200">
        <f t="shared" si="1097"/>
        <v>0</v>
      </c>
      <c r="GH120" s="201" cm="1">
        <f t="array" ref="GH120">IF(LEFT($AG120,3)="Res",IF(OR($DU120&gt;External_Threshold,$DK120&gt;0),1*Uplift*AWE*(External),0),0)</f>
        <v>0</v>
      </c>
      <c r="GI120" s="200">
        <f t="shared" si="1098"/>
        <v>0</v>
      </c>
      <c r="GJ120" s="201">
        <f t="shared" si="1485"/>
        <v>0</v>
      </c>
      <c r="GK120" s="203">
        <f t="shared" si="1163"/>
        <v>0</v>
      </c>
      <c r="GL120" s="199">
        <f t="shared" ca="1" si="1486"/>
        <v>0</v>
      </c>
      <c r="GM120" s="200">
        <f t="shared" si="1101"/>
        <v>0</v>
      </c>
      <c r="GN120" s="201">
        <f t="shared" ca="1" si="1487"/>
        <v>0</v>
      </c>
      <c r="GO120" s="200">
        <f t="shared" si="1103"/>
        <v>0</v>
      </c>
      <c r="GP120" s="201" cm="1">
        <f t="array" ref="GP120">IF(LEFT($AG120,3)="Res",IF(OR($DV120&gt;External_Threshold,$DL120&gt;0),1*Uplift*AWE*(External),0),0)</f>
        <v>0</v>
      </c>
      <c r="GQ120" s="200">
        <f t="shared" si="1104"/>
        <v>0</v>
      </c>
      <c r="GR120" s="201">
        <f t="shared" si="1488"/>
        <v>0</v>
      </c>
      <c r="GS120" s="203">
        <f t="shared" si="1164"/>
        <v>0</v>
      </c>
      <c r="GT120" s="199">
        <f t="shared" ca="1" si="1489"/>
        <v>0</v>
      </c>
      <c r="GU120" s="200">
        <f t="shared" si="1107"/>
        <v>0</v>
      </c>
      <c r="GV120" s="201">
        <f t="shared" ca="1" si="1490"/>
        <v>0</v>
      </c>
      <c r="GW120" s="200">
        <f t="shared" si="1109"/>
        <v>0</v>
      </c>
      <c r="GX120" s="201" cm="1">
        <f t="array" ref="GX120">IF(LEFT($AG120,3)="Res",IF(OR($DW120&gt;External_Threshold,$DM120&gt;0),1*Uplift*AWE*(External),0),0)</f>
        <v>0</v>
      </c>
      <c r="GY120" s="200">
        <f t="shared" si="1110"/>
        <v>0</v>
      </c>
      <c r="GZ120" s="201">
        <f t="shared" si="1491"/>
        <v>0</v>
      </c>
      <c r="HA120" s="203">
        <f t="shared" si="1165"/>
        <v>0</v>
      </c>
      <c r="HB120" s="54"/>
      <c r="HC120" s="54"/>
      <c r="HD120" s="54"/>
      <c r="HE120" s="54"/>
      <c r="HF120" s="54"/>
      <c r="HG120" s="201">
        <f t="shared" ca="1" si="1166"/>
        <v>555271.74163496622</v>
      </c>
      <c r="HH120" s="201">
        <f t="shared" ca="1" si="1167"/>
        <v>470609.60621069797</v>
      </c>
      <c r="HI120" s="201">
        <f t="shared" ca="1" si="1168"/>
        <v>438818.16914835805</v>
      </c>
      <c r="HJ120" s="201">
        <f t="shared" ca="1" si="1169"/>
        <v>360942.80816706782</v>
      </c>
      <c r="HK120" s="201">
        <f t="shared" ca="1" si="1170"/>
        <v>222583.19571461846</v>
      </c>
      <c r="HL120" s="201">
        <f t="shared" ca="1" si="1171"/>
        <v>31360.074279947214</v>
      </c>
      <c r="HM120" s="201">
        <f t="shared" ca="1" si="1172"/>
        <v>0</v>
      </c>
      <c r="HN120" s="201">
        <f t="shared" ca="1" si="1173"/>
        <v>0</v>
      </c>
      <c r="HO120" s="201">
        <f t="shared" ca="1" si="1174"/>
        <v>0</v>
      </c>
      <c r="HP120" s="201">
        <f t="shared" ca="1" si="1175"/>
        <v>0</v>
      </c>
      <c r="HQ120" s="54"/>
    </row>
    <row r="121" spans="1:225" x14ac:dyDescent="0.3">
      <c r="A121" s="513">
        <v>103</v>
      </c>
      <c r="B121" s="514" t="s">
        <v>526</v>
      </c>
      <c r="C121" s="514" t="s">
        <v>390</v>
      </c>
      <c r="D121" s="514" t="s">
        <v>390</v>
      </c>
      <c r="E121" s="513">
        <v>1</v>
      </c>
      <c r="F121" s="515">
        <v>6.73</v>
      </c>
      <c r="G121" s="515">
        <v>6.46</v>
      </c>
      <c r="H121" s="513">
        <v>8</v>
      </c>
      <c r="I121" s="517">
        <v>1</v>
      </c>
      <c r="J121" s="518" t="s">
        <v>295</v>
      </c>
      <c r="K121" s="513">
        <f t="shared" si="1452"/>
        <v>220</v>
      </c>
      <c r="L121" s="519">
        <v>7.5</v>
      </c>
      <c r="M121" s="519">
        <v>6.5299999999999994</v>
      </c>
      <c r="N121" s="519">
        <v>6.2299999999999995</v>
      </c>
      <c r="O121" s="519">
        <v>5.93</v>
      </c>
      <c r="P121" s="519">
        <v>5.47</v>
      </c>
      <c r="Q121" s="519">
        <v>5</v>
      </c>
      <c r="R121" s="519">
        <v>4.2</v>
      </c>
      <c r="S121" s="519">
        <v>0</v>
      </c>
      <c r="T121" s="519">
        <v>0</v>
      </c>
      <c r="U121" s="519">
        <v>0</v>
      </c>
      <c r="V121" s="536"/>
      <c r="W121" s="536"/>
      <c r="X121" s="536"/>
      <c r="Y121" s="536"/>
      <c r="Z121" s="536"/>
      <c r="AA121" s="536"/>
      <c r="AB121" s="536"/>
      <c r="AC121" s="536"/>
      <c r="AD121" s="536"/>
      <c r="AE121" s="536"/>
      <c r="AF121" s="54"/>
      <c r="AG121" s="204" t="str">
        <f t="shared" si="1253"/>
        <v>Com1</v>
      </c>
      <c r="AH121" s="204">
        <f t="shared" si="1112"/>
        <v>5</v>
      </c>
      <c r="AI121" s="204">
        <f t="shared" si="1453"/>
        <v>1</v>
      </c>
      <c r="AJ121" s="54"/>
      <c r="AK121" s="74">
        <f>IFERROR(IF(H121&gt;4,0,AI121*Inputs!$C$55),0)</f>
        <v>0</v>
      </c>
      <c r="AL121" s="81">
        <f>IFERROR(Inputs!$C$73,0)</f>
        <v>5</v>
      </c>
      <c r="AM121" s="211">
        <f>IFERROR(Inputs!$C$74,0)</f>
        <v>0.24299999999999999</v>
      </c>
      <c r="AN121" s="446">
        <f>IFERROR(HLOOKUP(HLOOKUP(AN$17,$V$18:$AE121,COUNTA($AK$18:$AK121),FALSE),Inputs!$B$58:$H$59,2,FALSE),0)</f>
        <v>0</v>
      </c>
      <c r="AO121" s="447">
        <f t="shared" si="1113"/>
        <v>0</v>
      </c>
      <c r="AP121" s="447">
        <f t="shared" si="1114"/>
        <v>0</v>
      </c>
      <c r="AQ121" s="446">
        <f>IFERROR(HLOOKUP(HLOOKUP(AQ$17,$V$18:$AE121,COUNTA($AK$18:$AK121),FALSE),Inputs!$B$58:$H$59,2,FALSE),0)</f>
        <v>0</v>
      </c>
      <c r="AR121" s="447">
        <f t="shared" ref="AR121" si="1537">2*$AK121*AQ121*$AL121/100*$AM121</f>
        <v>0</v>
      </c>
      <c r="AS121" s="447">
        <f t="shared" si="1116"/>
        <v>0</v>
      </c>
      <c r="AT121" s="446">
        <f>IFERROR(HLOOKUP(HLOOKUP(AT$17,$V$18:$AE121,COUNTA($AK$18:$AK121),FALSE),Inputs!$B$58:$H$59,2,FALSE),0)</f>
        <v>0</v>
      </c>
      <c r="AU121" s="447">
        <f t="shared" ref="AU121" si="1538">2*$AK121*AT121*$AL121/100*$AM121</f>
        <v>0</v>
      </c>
      <c r="AV121" s="447">
        <f t="shared" si="1118"/>
        <v>0</v>
      </c>
      <c r="AW121" s="446">
        <f>IFERROR(HLOOKUP(HLOOKUP(AW$17,$V$18:$AE121,COUNTA($AK$18:$AK121),FALSE),Inputs!$B$58:$H$59,2,FALSE),0)</f>
        <v>0</v>
      </c>
      <c r="AX121" s="447">
        <f t="shared" ref="AX121" si="1539">2*$AK121*AW121*$AL121/100*$AM121</f>
        <v>0</v>
      </c>
      <c r="AY121" s="447">
        <f t="shared" si="1120"/>
        <v>0</v>
      </c>
      <c r="AZ121" s="446">
        <f>IFERROR(HLOOKUP(HLOOKUP(AZ$17,$V$18:$AE121,COUNTA($AK$18:$AK121),FALSE),Inputs!$B$58:$H$59,2,FALSE),0)</f>
        <v>0</v>
      </c>
      <c r="BA121" s="447">
        <f t="shared" ref="BA121" si="1540">2*$AK121*AZ121*$AL121/100*$AM121</f>
        <v>0</v>
      </c>
      <c r="BB121" s="447">
        <f t="shared" si="1122"/>
        <v>0</v>
      </c>
      <c r="BC121" s="446">
        <f>IFERROR(HLOOKUP(HLOOKUP(BC$17,$V$18:$AE121,COUNTA($AK$18:$AK121),FALSE),Inputs!$B$58:$H$59,2,FALSE),0)</f>
        <v>0</v>
      </c>
      <c r="BD121" s="447">
        <f t="shared" ref="BD121" si="1541">2*$AK121*BC121*$AL121/100*$AM121</f>
        <v>0</v>
      </c>
      <c r="BE121" s="447">
        <f t="shared" si="1124"/>
        <v>0</v>
      </c>
      <c r="BF121" s="446">
        <f>IFERROR(HLOOKUP(HLOOKUP(BF$17,$V$18:$AE121,COUNTA($AK$18:$AK121),FALSE),Inputs!$B$58:$H$59,2,FALSE),0)</f>
        <v>0</v>
      </c>
      <c r="BG121" s="447">
        <f t="shared" ref="BG121" si="1542">2*$AK121*BF121*$AL121/100*$AM121</f>
        <v>0</v>
      </c>
      <c r="BH121" s="447">
        <f t="shared" si="1126"/>
        <v>0</v>
      </c>
      <c r="BI121" s="446">
        <f>IFERROR(HLOOKUP(HLOOKUP(BI$17,$V$18:$AE121,COUNTA($AK$18:$AK121),FALSE),Inputs!$B$58:$H$59,2,FALSE),0)</f>
        <v>0</v>
      </c>
      <c r="BJ121" s="447">
        <f t="shared" ref="BJ121" si="1543">2*$AK121*BI121*$AL121/100*$AM121</f>
        <v>0</v>
      </c>
      <c r="BK121" s="447">
        <f t="shared" si="1128"/>
        <v>0</v>
      </c>
      <c r="BL121" s="446">
        <f>IFERROR(HLOOKUP(HLOOKUP(BL$17,$V$18:$AE121,COUNTA($AK$18:$AK121),FALSE),Inputs!$B$58:$H$59,2,FALSE),0)</f>
        <v>0</v>
      </c>
      <c r="BM121" s="447">
        <f t="shared" ref="BM121" si="1544">2*$AK121*BL121*$AL121/100*$AM121</f>
        <v>0</v>
      </c>
      <c r="BN121" s="447">
        <f t="shared" si="1130"/>
        <v>0</v>
      </c>
      <c r="BO121" s="446">
        <f>IFERROR(HLOOKUP(HLOOKUP(BO$17,$V$18:$AE121,COUNTA($AK$18:$AK121),FALSE),Inputs!$B$58:$H$59,2,FALSE),0)</f>
        <v>0</v>
      </c>
      <c r="BP121" s="447">
        <f t="shared" ref="BP121" si="1545">2*$AK121*BO121*$AL121/100*$AM121</f>
        <v>0</v>
      </c>
      <c r="BQ121" s="447">
        <f t="shared" si="1132"/>
        <v>0</v>
      </c>
      <c r="BR121" s="54"/>
      <c r="BS121" s="103">
        <f t="shared" ca="1" si="1203"/>
        <v>263.01384076857391</v>
      </c>
      <c r="BT121" s="103">
        <f t="shared" ca="1" si="1204"/>
        <v>0</v>
      </c>
      <c r="BU121" s="103">
        <f t="shared" si="1205"/>
        <v>0</v>
      </c>
      <c r="BV121" s="103">
        <f t="shared" si="1206"/>
        <v>0</v>
      </c>
      <c r="BW121" s="152">
        <f t="shared" ca="1" si="1207"/>
        <v>263.01384076857391</v>
      </c>
      <c r="BX121" s="441"/>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188">
        <f t="shared" si="1133"/>
        <v>0.76999999999999957</v>
      </c>
      <c r="DE121" s="188">
        <f t="shared" si="1134"/>
        <v>-0.20000000000000107</v>
      </c>
      <c r="DF121" s="188">
        <f t="shared" si="1135"/>
        <v>-0.3</v>
      </c>
      <c r="DG121" s="188">
        <f t="shared" si="1136"/>
        <v>-0.3</v>
      </c>
      <c r="DH121" s="188">
        <f t="shared" si="1137"/>
        <v>-0.3</v>
      </c>
      <c r="DI121" s="188">
        <f t="shared" si="1138"/>
        <v>-0.3</v>
      </c>
      <c r="DJ121" s="188">
        <f t="shared" si="1139"/>
        <v>-0.3</v>
      </c>
      <c r="DK121" s="188">
        <f t="shared" si="1140"/>
        <v>-0.3</v>
      </c>
      <c r="DL121" s="188">
        <f t="shared" si="1141"/>
        <v>-0.3</v>
      </c>
      <c r="DM121" s="188">
        <f t="shared" si="1142"/>
        <v>-0.3</v>
      </c>
      <c r="DN121" s="189">
        <f t="shared" si="1143"/>
        <v>1.04</v>
      </c>
      <c r="DO121" s="189">
        <f t="shared" si="1144"/>
        <v>6.9999999999999396E-2</v>
      </c>
      <c r="DP121" s="189">
        <f t="shared" si="1145"/>
        <v>0</v>
      </c>
      <c r="DQ121" s="189">
        <f t="shared" si="1146"/>
        <v>0</v>
      </c>
      <c r="DR121" s="189">
        <f t="shared" si="1147"/>
        <v>0</v>
      </c>
      <c r="DS121" s="189">
        <f t="shared" si="1148"/>
        <v>0</v>
      </c>
      <c r="DT121" s="189">
        <f t="shared" si="1149"/>
        <v>0</v>
      </c>
      <c r="DU121" s="189">
        <f t="shared" si="1150"/>
        <v>0</v>
      </c>
      <c r="DV121" s="189">
        <f t="shared" si="1151"/>
        <v>0</v>
      </c>
      <c r="DW121" s="189">
        <f t="shared" si="1152"/>
        <v>0</v>
      </c>
      <c r="DX121" s="54"/>
      <c r="DY121" s="54"/>
      <c r="DZ121" s="199">
        <f t="shared" ca="1" si="1463"/>
        <v>264335.51836037578</v>
      </c>
      <c r="EA121" s="200">
        <f t="shared" si="1153"/>
        <v>1</v>
      </c>
      <c r="EB121" s="201">
        <f t="shared" ca="1" si="1464"/>
        <v>0</v>
      </c>
      <c r="EC121" s="200">
        <f t="shared" si="1154"/>
        <v>1</v>
      </c>
      <c r="ED121" s="201" cm="1">
        <f t="array" ref="ED121">IF(LEFT($AG121,3)="Res",IF(OR($DN121&gt;External_Threshold,$DD121&gt;0),1*Uplift*AWE*(External),0),0)</f>
        <v>0</v>
      </c>
      <c r="EE121" s="200">
        <f t="shared" si="1155"/>
        <v>1</v>
      </c>
      <c r="EF121" s="201">
        <f t="shared" si="1465"/>
        <v>0</v>
      </c>
      <c r="EG121" s="203">
        <f t="shared" si="1156"/>
        <v>0</v>
      </c>
      <c r="EH121" s="199">
        <f t="shared" ca="1" si="1466"/>
        <v>0</v>
      </c>
      <c r="EI121" s="200">
        <f t="shared" si="1059"/>
        <v>0</v>
      </c>
      <c r="EJ121" s="201">
        <f t="shared" ca="1" si="1467"/>
        <v>0</v>
      </c>
      <c r="EK121" s="200">
        <f t="shared" si="1061"/>
        <v>0</v>
      </c>
      <c r="EL121" s="201" cm="1">
        <f t="array" ref="EL121">IF(LEFT($AG121,3)="Res",IF(OR($DO121&gt;External_Threshold,$DE121&gt;0),1*Uplift*AWE*(External),0),0)</f>
        <v>0</v>
      </c>
      <c r="EM121" s="200">
        <f t="shared" si="1062"/>
        <v>1</v>
      </c>
      <c r="EN121" s="201">
        <f t="shared" si="1468"/>
        <v>0</v>
      </c>
      <c r="EO121" s="203">
        <f t="shared" si="1157"/>
        <v>0</v>
      </c>
      <c r="EP121" s="199">
        <f t="shared" ca="1" si="1469"/>
        <v>0</v>
      </c>
      <c r="EQ121" s="200">
        <f t="shared" si="1065"/>
        <v>0</v>
      </c>
      <c r="ER121" s="201">
        <f t="shared" ca="1" si="1470"/>
        <v>0</v>
      </c>
      <c r="ES121" s="200">
        <f t="shared" si="1067"/>
        <v>0</v>
      </c>
      <c r="ET121" s="201" cm="1">
        <f t="array" ref="ET121">IF(LEFT($AG121,3)="Res",IF(OR($DP121&gt;External_Threshold,$DF121&gt;0),1*Uplift*AWE*(External),0),0)</f>
        <v>0</v>
      </c>
      <c r="EU121" s="200">
        <f t="shared" si="1068"/>
        <v>0</v>
      </c>
      <c r="EV121" s="201">
        <f t="shared" si="1471"/>
        <v>0</v>
      </c>
      <c r="EW121" s="203">
        <f t="shared" si="1158"/>
        <v>0</v>
      </c>
      <c r="EX121" s="199">
        <f t="shared" ca="1" si="1472"/>
        <v>0</v>
      </c>
      <c r="EY121" s="200">
        <f t="shared" si="1071"/>
        <v>0</v>
      </c>
      <c r="EZ121" s="201">
        <f t="shared" ca="1" si="1473"/>
        <v>0</v>
      </c>
      <c r="FA121" s="200">
        <f t="shared" si="1073"/>
        <v>0</v>
      </c>
      <c r="FB121" s="201" cm="1">
        <f t="array" ref="FB121">IF(LEFT($AG121,3)="Res",IF(OR($DQ121&gt;External_Threshold,$DG121&gt;0),1*Uplift*AWE*(External),0),0)</f>
        <v>0</v>
      </c>
      <c r="FC121" s="200">
        <f t="shared" si="1074"/>
        <v>0</v>
      </c>
      <c r="FD121" s="201">
        <f t="shared" si="1075"/>
        <v>0</v>
      </c>
      <c r="FE121" s="203">
        <f t="shared" si="1159"/>
        <v>0</v>
      </c>
      <c r="FF121" s="199">
        <f t="shared" ca="1" si="1474"/>
        <v>0</v>
      </c>
      <c r="FG121" s="200">
        <f t="shared" si="1077"/>
        <v>0</v>
      </c>
      <c r="FH121" s="201">
        <f t="shared" ca="1" si="1475"/>
        <v>0</v>
      </c>
      <c r="FI121" s="200">
        <f t="shared" si="1079"/>
        <v>0</v>
      </c>
      <c r="FJ121" s="201" cm="1">
        <f t="array" ref="FJ121">IF(LEFT($AG121,3)="Res",IF(OR($DR121&gt;External_Threshold,$DH121&gt;0),1*Uplift*AWE*(External),0),0)</f>
        <v>0</v>
      </c>
      <c r="FK121" s="200">
        <f t="shared" si="1080"/>
        <v>0</v>
      </c>
      <c r="FL121" s="201">
        <f t="shared" si="1476"/>
        <v>0</v>
      </c>
      <c r="FM121" s="203">
        <f t="shared" si="1160"/>
        <v>0</v>
      </c>
      <c r="FN121" s="199">
        <f t="shared" ca="1" si="1477"/>
        <v>0</v>
      </c>
      <c r="FO121" s="200">
        <f t="shared" si="1083"/>
        <v>0</v>
      </c>
      <c r="FP121" s="201">
        <f t="shared" ca="1" si="1478"/>
        <v>0</v>
      </c>
      <c r="FQ121" s="200">
        <f t="shared" si="1085"/>
        <v>0</v>
      </c>
      <c r="FR121" s="201" cm="1">
        <f t="array" ref="FR121">IF(LEFT($AG121,3)="Res",IF(OR($DS121&gt;External_Threshold,$DI121&gt;0),1*Uplift*AWE*(External),0),0)</f>
        <v>0</v>
      </c>
      <c r="FS121" s="200">
        <f t="shared" si="1086"/>
        <v>0</v>
      </c>
      <c r="FT121" s="201">
        <f t="shared" si="1479"/>
        <v>0</v>
      </c>
      <c r="FU121" s="203">
        <f t="shared" si="1161"/>
        <v>0</v>
      </c>
      <c r="FV121" s="199">
        <f t="shared" ca="1" si="1480"/>
        <v>0</v>
      </c>
      <c r="FW121" s="200">
        <f t="shared" si="1089"/>
        <v>0</v>
      </c>
      <c r="FX121" s="201">
        <f t="shared" ca="1" si="1481"/>
        <v>0</v>
      </c>
      <c r="FY121" s="200">
        <f t="shared" si="1091"/>
        <v>0</v>
      </c>
      <c r="FZ121" s="201" cm="1">
        <f t="array" ref="FZ121">IF(LEFT($AG121,3)="Res",IF(OR($DT121&gt;External_Threshold,$DJ121&gt;0),1*Uplift*AWE*(External),0),0)</f>
        <v>0</v>
      </c>
      <c r="GA121" s="200">
        <f t="shared" si="1092"/>
        <v>0</v>
      </c>
      <c r="GB121" s="201">
        <f t="shared" si="1482"/>
        <v>0</v>
      </c>
      <c r="GC121" s="203">
        <f t="shared" si="1162"/>
        <v>0</v>
      </c>
      <c r="GD121" s="199">
        <f t="shared" ca="1" si="1483"/>
        <v>0</v>
      </c>
      <c r="GE121" s="200">
        <f t="shared" si="1095"/>
        <v>0</v>
      </c>
      <c r="GF121" s="201">
        <f t="shared" ca="1" si="1484"/>
        <v>0</v>
      </c>
      <c r="GG121" s="200">
        <f t="shared" si="1097"/>
        <v>0</v>
      </c>
      <c r="GH121" s="201" cm="1">
        <f t="array" ref="GH121">IF(LEFT($AG121,3)="Res",IF(OR($DU121&gt;External_Threshold,$DK121&gt;0),1*Uplift*AWE*(External),0),0)</f>
        <v>0</v>
      </c>
      <c r="GI121" s="200">
        <f t="shared" si="1098"/>
        <v>0</v>
      </c>
      <c r="GJ121" s="201">
        <f t="shared" si="1485"/>
        <v>0</v>
      </c>
      <c r="GK121" s="203">
        <f t="shared" si="1163"/>
        <v>0</v>
      </c>
      <c r="GL121" s="199">
        <f t="shared" ca="1" si="1486"/>
        <v>0</v>
      </c>
      <c r="GM121" s="200">
        <f t="shared" si="1101"/>
        <v>0</v>
      </c>
      <c r="GN121" s="201">
        <f t="shared" ca="1" si="1487"/>
        <v>0</v>
      </c>
      <c r="GO121" s="200">
        <f t="shared" si="1103"/>
        <v>0</v>
      </c>
      <c r="GP121" s="201" cm="1">
        <f t="array" ref="GP121">IF(LEFT($AG121,3)="Res",IF(OR($DV121&gt;External_Threshold,$DL121&gt;0),1*Uplift*AWE*(External),0),0)</f>
        <v>0</v>
      </c>
      <c r="GQ121" s="200">
        <f t="shared" si="1104"/>
        <v>0</v>
      </c>
      <c r="GR121" s="201">
        <f t="shared" si="1488"/>
        <v>0</v>
      </c>
      <c r="GS121" s="203">
        <f t="shared" si="1164"/>
        <v>0</v>
      </c>
      <c r="GT121" s="199">
        <f t="shared" ca="1" si="1489"/>
        <v>0</v>
      </c>
      <c r="GU121" s="200">
        <f t="shared" si="1107"/>
        <v>0</v>
      </c>
      <c r="GV121" s="201">
        <f t="shared" ca="1" si="1490"/>
        <v>0</v>
      </c>
      <c r="GW121" s="200">
        <f t="shared" si="1109"/>
        <v>0</v>
      </c>
      <c r="GX121" s="201" cm="1">
        <f t="array" ref="GX121">IF(LEFT($AG121,3)="Res",IF(OR($DW121&gt;External_Threshold,$DM121&gt;0),1*Uplift*AWE*(External),0),0)</f>
        <v>0</v>
      </c>
      <c r="GY121" s="200">
        <f t="shared" si="1110"/>
        <v>0</v>
      </c>
      <c r="GZ121" s="201">
        <f t="shared" si="1491"/>
        <v>0</v>
      </c>
      <c r="HA121" s="203">
        <f t="shared" si="1165"/>
        <v>0</v>
      </c>
      <c r="HB121" s="54"/>
      <c r="HC121" s="54"/>
      <c r="HD121" s="54"/>
      <c r="HE121" s="54"/>
      <c r="HF121" s="54"/>
      <c r="HG121" s="201">
        <f t="shared" ca="1" si="1166"/>
        <v>264335.51836037578</v>
      </c>
      <c r="HH121" s="201">
        <f t="shared" ca="1" si="1167"/>
        <v>0</v>
      </c>
      <c r="HI121" s="201">
        <f t="shared" ca="1" si="1168"/>
        <v>0</v>
      </c>
      <c r="HJ121" s="201">
        <f t="shared" ca="1" si="1169"/>
        <v>0</v>
      </c>
      <c r="HK121" s="201">
        <f t="shared" ca="1" si="1170"/>
        <v>0</v>
      </c>
      <c r="HL121" s="201">
        <f t="shared" ca="1" si="1171"/>
        <v>0</v>
      </c>
      <c r="HM121" s="201">
        <f t="shared" ca="1" si="1172"/>
        <v>0</v>
      </c>
      <c r="HN121" s="201">
        <f t="shared" ca="1" si="1173"/>
        <v>0</v>
      </c>
      <c r="HO121" s="201">
        <f t="shared" ca="1" si="1174"/>
        <v>0</v>
      </c>
      <c r="HP121" s="201">
        <f t="shared" ca="1" si="1175"/>
        <v>0</v>
      </c>
      <c r="HQ121" s="54"/>
    </row>
    <row r="122" spans="1:225" x14ac:dyDescent="0.3">
      <c r="A122" s="513">
        <v>104</v>
      </c>
      <c r="B122" s="514" t="s">
        <v>527</v>
      </c>
      <c r="C122" s="514" t="s">
        <v>390</v>
      </c>
      <c r="D122" s="514" t="s">
        <v>390</v>
      </c>
      <c r="E122" s="513">
        <v>1</v>
      </c>
      <c r="F122" s="515">
        <v>6.57</v>
      </c>
      <c r="G122" s="515">
        <v>5.97</v>
      </c>
      <c r="H122" s="513">
        <v>5</v>
      </c>
      <c r="I122" s="517">
        <v>1</v>
      </c>
      <c r="J122" s="518" t="s">
        <v>295</v>
      </c>
      <c r="K122" s="513">
        <f t="shared" si="1452"/>
        <v>220</v>
      </c>
      <c r="L122" s="519">
        <v>7.5</v>
      </c>
      <c r="M122" s="519">
        <v>6.5299999999999994</v>
      </c>
      <c r="N122" s="519">
        <v>6.2299999999999995</v>
      </c>
      <c r="O122" s="519">
        <v>5.93</v>
      </c>
      <c r="P122" s="519">
        <v>5.47</v>
      </c>
      <c r="Q122" s="519">
        <v>5</v>
      </c>
      <c r="R122" s="519">
        <v>4.2</v>
      </c>
      <c r="S122" s="519">
        <v>0</v>
      </c>
      <c r="T122" s="519">
        <v>0</v>
      </c>
      <c r="U122" s="519">
        <v>0</v>
      </c>
      <c r="V122" s="536"/>
      <c r="W122" s="536"/>
      <c r="X122" s="536"/>
      <c r="Y122" s="536"/>
      <c r="Z122" s="536"/>
      <c r="AA122" s="536"/>
      <c r="AB122" s="536"/>
      <c r="AC122" s="536"/>
      <c r="AD122" s="536"/>
      <c r="AE122" s="536"/>
      <c r="AF122" s="54"/>
      <c r="AG122" s="204" t="str">
        <f t="shared" si="1253"/>
        <v>Com1</v>
      </c>
      <c r="AH122" s="204">
        <f t="shared" si="1112"/>
        <v>2</v>
      </c>
      <c r="AI122" s="204">
        <f t="shared" si="1453"/>
        <v>1</v>
      </c>
      <c r="AJ122" s="54"/>
      <c r="AK122" s="74">
        <f>IFERROR(IF(H122&gt;4,0,AI122*Inputs!$C$55),0)</f>
        <v>0</v>
      </c>
      <c r="AL122" s="81">
        <f>IFERROR(Inputs!$C$73,0)</f>
        <v>5</v>
      </c>
      <c r="AM122" s="211">
        <f>IFERROR(Inputs!$C$74,0)</f>
        <v>0.24299999999999999</v>
      </c>
      <c r="AN122" s="446">
        <f>IFERROR(HLOOKUP(HLOOKUP(AN$17,$V$18:$AE122,COUNTA($AK$18:$AK122),FALSE),Inputs!$B$58:$H$59,2,FALSE),0)</f>
        <v>0</v>
      </c>
      <c r="AO122" s="447">
        <f t="shared" si="1113"/>
        <v>0</v>
      </c>
      <c r="AP122" s="447">
        <f t="shared" si="1114"/>
        <v>0</v>
      </c>
      <c r="AQ122" s="446">
        <f>IFERROR(HLOOKUP(HLOOKUP(AQ$17,$V$18:$AE122,COUNTA($AK$18:$AK122),FALSE),Inputs!$B$58:$H$59,2,FALSE),0)</f>
        <v>0</v>
      </c>
      <c r="AR122" s="447">
        <f t="shared" ref="AR122" si="1546">2*$AK122*AQ122*$AL122/100*$AM122</f>
        <v>0</v>
      </c>
      <c r="AS122" s="447">
        <f t="shared" si="1116"/>
        <v>0</v>
      </c>
      <c r="AT122" s="446">
        <f>IFERROR(HLOOKUP(HLOOKUP(AT$17,$V$18:$AE122,COUNTA($AK$18:$AK122),FALSE),Inputs!$B$58:$H$59,2,FALSE),0)</f>
        <v>0</v>
      </c>
      <c r="AU122" s="447">
        <f t="shared" ref="AU122" si="1547">2*$AK122*AT122*$AL122/100*$AM122</f>
        <v>0</v>
      </c>
      <c r="AV122" s="447">
        <f t="shared" si="1118"/>
        <v>0</v>
      </c>
      <c r="AW122" s="446">
        <f>IFERROR(HLOOKUP(HLOOKUP(AW$17,$V$18:$AE122,COUNTA($AK$18:$AK122),FALSE),Inputs!$B$58:$H$59,2,FALSE),0)</f>
        <v>0</v>
      </c>
      <c r="AX122" s="447">
        <f t="shared" ref="AX122" si="1548">2*$AK122*AW122*$AL122/100*$AM122</f>
        <v>0</v>
      </c>
      <c r="AY122" s="447">
        <f t="shared" si="1120"/>
        <v>0</v>
      </c>
      <c r="AZ122" s="446">
        <f>IFERROR(HLOOKUP(HLOOKUP(AZ$17,$V$18:$AE122,COUNTA($AK$18:$AK122),FALSE),Inputs!$B$58:$H$59,2,FALSE),0)</f>
        <v>0</v>
      </c>
      <c r="BA122" s="447">
        <f t="shared" ref="BA122" si="1549">2*$AK122*AZ122*$AL122/100*$AM122</f>
        <v>0</v>
      </c>
      <c r="BB122" s="447">
        <f t="shared" si="1122"/>
        <v>0</v>
      </c>
      <c r="BC122" s="446">
        <f>IFERROR(HLOOKUP(HLOOKUP(BC$17,$V$18:$AE122,COUNTA($AK$18:$AK122),FALSE),Inputs!$B$58:$H$59,2,FALSE),0)</f>
        <v>0</v>
      </c>
      <c r="BD122" s="447">
        <f t="shared" ref="BD122" si="1550">2*$AK122*BC122*$AL122/100*$AM122</f>
        <v>0</v>
      </c>
      <c r="BE122" s="447">
        <f t="shared" si="1124"/>
        <v>0</v>
      </c>
      <c r="BF122" s="446">
        <f>IFERROR(HLOOKUP(HLOOKUP(BF$17,$V$18:$AE122,COUNTA($AK$18:$AK122),FALSE),Inputs!$B$58:$H$59,2,FALSE),0)</f>
        <v>0</v>
      </c>
      <c r="BG122" s="447">
        <f t="shared" ref="BG122" si="1551">2*$AK122*BF122*$AL122/100*$AM122</f>
        <v>0</v>
      </c>
      <c r="BH122" s="447">
        <f t="shared" si="1126"/>
        <v>0</v>
      </c>
      <c r="BI122" s="446">
        <f>IFERROR(HLOOKUP(HLOOKUP(BI$17,$V$18:$AE122,COUNTA($AK$18:$AK122),FALSE),Inputs!$B$58:$H$59,2,FALSE),0)</f>
        <v>0</v>
      </c>
      <c r="BJ122" s="447">
        <f t="shared" ref="BJ122" si="1552">2*$AK122*BI122*$AL122/100*$AM122</f>
        <v>0</v>
      </c>
      <c r="BK122" s="447">
        <f t="shared" si="1128"/>
        <v>0</v>
      </c>
      <c r="BL122" s="446">
        <f>IFERROR(HLOOKUP(HLOOKUP(BL$17,$V$18:$AE122,COUNTA($AK$18:$AK122),FALSE),Inputs!$B$58:$H$59,2,FALSE),0)</f>
        <v>0</v>
      </c>
      <c r="BM122" s="447">
        <f t="shared" ref="BM122" si="1553">2*$AK122*BL122*$AL122/100*$AM122</f>
        <v>0</v>
      </c>
      <c r="BN122" s="447">
        <f t="shared" si="1130"/>
        <v>0</v>
      </c>
      <c r="BO122" s="446">
        <f>IFERROR(HLOOKUP(HLOOKUP(BO$17,$V$18:$AE122,COUNTA($AK$18:$AK122),FALSE),Inputs!$B$58:$H$59,2,FALSE),0)</f>
        <v>0</v>
      </c>
      <c r="BP122" s="447">
        <f t="shared" ref="BP122" si="1554">2*$AK122*BO122*$AL122/100*$AM122</f>
        <v>0</v>
      </c>
      <c r="BQ122" s="447">
        <f t="shared" si="1132"/>
        <v>0</v>
      </c>
      <c r="BR122" s="54"/>
      <c r="BS122" s="103">
        <f t="shared" ca="1" si="1203"/>
        <v>122.87749594022205</v>
      </c>
      <c r="BT122" s="103">
        <f t="shared" ca="1" si="1204"/>
        <v>0</v>
      </c>
      <c r="BU122" s="103">
        <f t="shared" si="1205"/>
        <v>0</v>
      </c>
      <c r="BV122" s="103">
        <f t="shared" si="1206"/>
        <v>0</v>
      </c>
      <c r="BW122" s="152">
        <f t="shared" ca="1" si="1207"/>
        <v>122.87749594022205</v>
      </c>
      <c r="BX122" s="441"/>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188">
        <f t="shared" si="1133"/>
        <v>0.92999999999999972</v>
      </c>
      <c r="DE122" s="188">
        <f t="shared" si="1134"/>
        <v>-4.0000000000000924E-2</v>
      </c>
      <c r="DF122" s="188">
        <f t="shared" si="1135"/>
        <v>-0.3</v>
      </c>
      <c r="DG122" s="188">
        <f t="shared" si="1136"/>
        <v>-0.3</v>
      </c>
      <c r="DH122" s="188">
        <f t="shared" si="1137"/>
        <v>-0.3</v>
      </c>
      <c r="DI122" s="188">
        <f t="shared" si="1138"/>
        <v>-0.3</v>
      </c>
      <c r="DJ122" s="188">
        <f t="shared" si="1139"/>
        <v>-0.3</v>
      </c>
      <c r="DK122" s="188">
        <f t="shared" si="1140"/>
        <v>-0.3</v>
      </c>
      <c r="DL122" s="188">
        <f t="shared" si="1141"/>
        <v>-0.3</v>
      </c>
      <c r="DM122" s="188">
        <f t="shared" si="1142"/>
        <v>-0.3</v>
      </c>
      <c r="DN122" s="189">
        <f t="shared" si="1143"/>
        <v>1.5300000000000002</v>
      </c>
      <c r="DO122" s="189">
        <f t="shared" si="1144"/>
        <v>0.55999999999999961</v>
      </c>
      <c r="DP122" s="189">
        <f t="shared" si="1145"/>
        <v>0.25999999999999979</v>
      </c>
      <c r="DQ122" s="189">
        <f t="shared" si="1146"/>
        <v>0</v>
      </c>
      <c r="DR122" s="189">
        <f t="shared" si="1147"/>
        <v>0</v>
      </c>
      <c r="DS122" s="189">
        <f t="shared" si="1148"/>
        <v>0</v>
      </c>
      <c r="DT122" s="189">
        <f t="shared" si="1149"/>
        <v>0</v>
      </c>
      <c r="DU122" s="189">
        <f t="shared" si="1150"/>
        <v>0</v>
      </c>
      <c r="DV122" s="189">
        <f t="shared" si="1151"/>
        <v>0</v>
      </c>
      <c r="DW122" s="189">
        <f t="shared" si="1152"/>
        <v>0</v>
      </c>
      <c r="DX122" s="54"/>
      <c r="DY122" s="54"/>
      <c r="DZ122" s="199">
        <f t="shared" ca="1" si="1463"/>
        <v>123494.97079419301</v>
      </c>
      <c r="EA122" s="200">
        <f t="shared" si="1153"/>
        <v>1</v>
      </c>
      <c r="EB122" s="201">
        <f t="shared" ca="1" si="1464"/>
        <v>0</v>
      </c>
      <c r="EC122" s="200">
        <f t="shared" si="1154"/>
        <v>1</v>
      </c>
      <c r="ED122" s="201" cm="1">
        <f t="array" ref="ED122">IF(LEFT($AG122,3)="Res",IF(OR($DN122&gt;External_Threshold,$DD122&gt;0),1*Uplift*AWE*(External),0),0)</f>
        <v>0</v>
      </c>
      <c r="EE122" s="200">
        <f t="shared" si="1155"/>
        <v>1</v>
      </c>
      <c r="EF122" s="201">
        <f t="shared" si="1465"/>
        <v>0</v>
      </c>
      <c r="EG122" s="203">
        <f t="shared" si="1156"/>
        <v>0</v>
      </c>
      <c r="EH122" s="199">
        <f t="shared" ca="1" si="1466"/>
        <v>0</v>
      </c>
      <c r="EI122" s="200">
        <f t="shared" si="1059"/>
        <v>0</v>
      </c>
      <c r="EJ122" s="201">
        <f t="shared" ca="1" si="1467"/>
        <v>0</v>
      </c>
      <c r="EK122" s="200">
        <f t="shared" si="1061"/>
        <v>0</v>
      </c>
      <c r="EL122" s="201" cm="1">
        <f t="array" ref="EL122">IF(LEFT($AG122,3)="Res",IF(OR($DO122&gt;External_Threshold,$DE122&gt;0),1*Uplift*AWE*(External),0),0)</f>
        <v>0</v>
      </c>
      <c r="EM122" s="200">
        <f t="shared" si="1062"/>
        <v>1</v>
      </c>
      <c r="EN122" s="201">
        <f t="shared" si="1468"/>
        <v>0</v>
      </c>
      <c r="EO122" s="203">
        <f t="shared" si="1157"/>
        <v>0</v>
      </c>
      <c r="EP122" s="199">
        <f t="shared" ca="1" si="1469"/>
        <v>0</v>
      </c>
      <c r="EQ122" s="200">
        <f t="shared" si="1065"/>
        <v>0</v>
      </c>
      <c r="ER122" s="201">
        <f t="shared" ca="1" si="1470"/>
        <v>0</v>
      </c>
      <c r="ES122" s="200">
        <f t="shared" si="1067"/>
        <v>0</v>
      </c>
      <c r="ET122" s="201" cm="1">
        <f t="array" ref="ET122">IF(LEFT($AG122,3)="Res",IF(OR($DP122&gt;External_Threshold,$DF122&gt;0),1*Uplift*AWE*(External),0),0)</f>
        <v>0</v>
      </c>
      <c r="EU122" s="200">
        <f t="shared" si="1068"/>
        <v>1</v>
      </c>
      <c r="EV122" s="201">
        <f t="shared" si="1471"/>
        <v>0</v>
      </c>
      <c r="EW122" s="203">
        <f t="shared" si="1158"/>
        <v>0</v>
      </c>
      <c r="EX122" s="199">
        <f t="shared" ca="1" si="1472"/>
        <v>0</v>
      </c>
      <c r="EY122" s="200">
        <f t="shared" si="1071"/>
        <v>0</v>
      </c>
      <c r="EZ122" s="201">
        <f t="shared" ca="1" si="1473"/>
        <v>0</v>
      </c>
      <c r="FA122" s="200">
        <f t="shared" si="1073"/>
        <v>0</v>
      </c>
      <c r="FB122" s="201" cm="1">
        <f t="array" ref="FB122">IF(LEFT($AG122,3)="Res",IF(OR($DQ122&gt;External_Threshold,$DG122&gt;0),1*Uplift*AWE*(External),0),0)</f>
        <v>0</v>
      </c>
      <c r="FC122" s="200">
        <f t="shared" si="1074"/>
        <v>0</v>
      </c>
      <c r="FD122" s="201">
        <f t="shared" si="1075"/>
        <v>0</v>
      </c>
      <c r="FE122" s="203">
        <f t="shared" si="1159"/>
        <v>0</v>
      </c>
      <c r="FF122" s="199">
        <f t="shared" ca="1" si="1474"/>
        <v>0</v>
      </c>
      <c r="FG122" s="200">
        <f t="shared" si="1077"/>
        <v>0</v>
      </c>
      <c r="FH122" s="201">
        <f t="shared" ca="1" si="1475"/>
        <v>0</v>
      </c>
      <c r="FI122" s="200">
        <f t="shared" si="1079"/>
        <v>0</v>
      </c>
      <c r="FJ122" s="201" cm="1">
        <f t="array" ref="FJ122">IF(LEFT($AG122,3)="Res",IF(OR($DR122&gt;External_Threshold,$DH122&gt;0),1*Uplift*AWE*(External),0),0)</f>
        <v>0</v>
      </c>
      <c r="FK122" s="200">
        <f t="shared" si="1080"/>
        <v>0</v>
      </c>
      <c r="FL122" s="201">
        <f t="shared" si="1476"/>
        <v>0</v>
      </c>
      <c r="FM122" s="203">
        <f t="shared" si="1160"/>
        <v>0</v>
      </c>
      <c r="FN122" s="199">
        <f t="shared" ca="1" si="1477"/>
        <v>0</v>
      </c>
      <c r="FO122" s="200">
        <f t="shared" si="1083"/>
        <v>0</v>
      </c>
      <c r="FP122" s="201">
        <f t="shared" ca="1" si="1478"/>
        <v>0</v>
      </c>
      <c r="FQ122" s="200">
        <f t="shared" si="1085"/>
        <v>0</v>
      </c>
      <c r="FR122" s="201" cm="1">
        <f t="array" ref="FR122">IF(LEFT($AG122,3)="Res",IF(OR($DS122&gt;External_Threshold,$DI122&gt;0),1*Uplift*AWE*(External),0),0)</f>
        <v>0</v>
      </c>
      <c r="FS122" s="200">
        <f t="shared" si="1086"/>
        <v>0</v>
      </c>
      <c r="FT122" s="201">
        <f t="shared" si="1479"/>
        <v>0</v>
      </c>
      <c r="FU122" s="203">
        <f t="shared" si="1161"/>
        <v>0</v>
      </c>
      <c r="FV122" s="199">
        <f t="shared" ca="1" si="1480"/>
        <v>0</v>
      </c>
      <c r="FW122" s="200">
        <f t="shared" si="1089"/>
        <v>0</v>
      </c>
      <c r="FX122" s="201">
        <f t="shared" ca="1" si="1481"/>
        <v>0</v>
      </c>
      <c r="FY122" s="200">
        <f t="shared" si="1091"/>
        <v>0</v>
      </c>
      <c r="FZ122" s="201" cm="1">
        <f t="array" ref="FZ122">IF(LEFT($AG122,3)="Res",IF(OR($DT122&gt;External_Threshold,$DJ122&gt;0),1*Uplift*AWE*(External),0),0)</f>
        <v>0</v>
      </c>
      <c r="GA122" s="200">
        <f t="shared" si="1092"/>
        <v>0</v>
      </c>
      <c r="GB122" s="201">
        <f t="shared" si="1482"/>
        <v>0</v>
      </c>
      <c r="GC122" s="203">
        <f t="shared" si="1162"/>
        <v>0</v>
      </c>
      <c r="GD122" s="199">
        <f t="shared" ca="1" si="1483"/>
        <v>0</v>
      </c>
      <c r="GE122" s="200">
        <f t="shared" si="1095"/>
        <v>0</v>
      </c>
      <c r="GF122" s="201">
        <f t="shared" ca="1" si="1484"/>
        <v>0</v>
      </c>
      <c r="GG122" s="200">
        <f t="shared" si="1097"/>
        <v>0</v>
      </c>
      <c r="GH122" s="201" cm="1">
        <f t="array" ref="GH122">IF(LEFT($AG122,3)="Res",IF(OR($DU122&gt;External_Threshold,$DK122&gt;0),1*Uplift*AWE*(External),0),0)</f>
        <v>0</v>
      </c>
      <c r="GI122" s="200">
        <f t="shared" si="1098"/>
        <v>0</v>
      </c>
      <c r="GJ122" s="201">
        <f t="shared" si="1485"/>
        <v>0</v>
      </c>
      <c r="GK122" s="203">
        <f t="shared" si="1163"/>
        <v>0</v>
      </c>
      <c r="GL122" s="199">
        <f t="shared" ca="1" si="1486"/>
        <v>0</v>
      </c>
      <c r="GM122" s="200">
        <f t="shared" si="1101"/>
        <v>0</v>
      </c>
      <c r="GN122" s="201">
        <f t="shared" ca="1" si="1487"/>
        <v>0</v>
      </c>
      <c r="GO122" s="200">
        <f t="shared" si="1103"/>
        <v>0</v>
      </c>
      <c r="GP122" s="201" cm="1">
        <f t="array" ref="GP122">IF(LEFT($AG122,3)="Res",IF(OR($DV122&gt;External_Threshold,$DL122&gt;0),1*Uplift*AWE*(External),0),0)</f>
        <v>0</v>
      </c>
      <c r="GQ122" s="200">
        <f t="shared" si="1104"/>
        <v>0</v>
      </c>
      <c r="GR122" s="201">
        <f t="shared" si="1488"/>
        <v>0</v>
      </c>
      <c r="GS122" s="203">
        <f t="shared" si="1164"/>
        <v>0</v>
      </c>
      <c r="GT122" s="199">
        <f t="shared" ca="1" si="1489"/>
        <v>0</v>
      </c>
      <c r="GU122" s="200">
        <f t="shared" si="1107"/>
        <v>0</v>
      </c>
      <c r="GV122" s="201">
        <f t="shared" ca="1" si="1490"/>
        <v>0</v>
      </c>
      <c r="GW122" s="200">
        <f t="shared" si="1109"/>
        <v>0</v>
      </c>
      <c r="GX122" s="201" cm="1">
        <f t="array" ref="GX122">IF(LEFT($AG122,3)="Res",IF(OR($DW122&gt;External_Threshold,$DM122&gt;0),1*Uplift*AWE*(External),0),0)</f>
        <v>0</v>
      </c>
      <c r="GY122" s="200">
        <f t="shared" si="1110"/>
        <v>0</v>
      </c>
      <c r="GZ122" s="201">
        <f t="shared" si="1491"/>
        <v>0</v>
      </c>
      <c r="HA122" s="203">
        <f t="shared" si="1165"/>
        <v>0</v>
      </c>
      <c r="HB122" s="54"/>
      <c r="HC122" s="54"/>
      <c r="HD122" s="54"/>
      <c r="HE122" s="54"/>
      <c r="HF122" s="54"/>
      <c r="HG122" s="201">
        <f t="shared" ca="1" si="1166"/>
        <v>123494.97079419301</v>
      </c>
      <c r="HH122" s="201">
        <f t="shared" ca="1" si="1167"/>
        <v>0</v>
      </c>
      <c r="HI122" s="201">
        <f t="shared" ca="1" si="1168"/>
        <v>0</v>
      </c>
      <c r="HJ122" s="201">
        <f t="shared" ca="1" si="1169"/>
        <v>0</v>
      </c>
      <c r="HK122" s="201">
        <f t="shared" ca="1" si="1170"/>
        <v>0</v>
      </c>
      <c r="HL122" s="201">
        <f t="shared" ca="1" si="1171"/>
        <v>0</v>
      </c>
      <c r="HM122" s="201">
        <f t="shared" ca="1" si="1172"/>
        <v>0</v>
      </c>
      <c r="HN122" s="201">
        <f t="shared" ca="1" si="1173"/>
        <v>0</v>
      </c>
      <c r="HO122" s="201">
        <f t="shared" ca="1" si="1174"/>
        <v>0</v>
      </c>
      <c r="HP122" s="201">
        <f t="shared" ca="1" si="1175"/>
        <v>0</v>
      </c>
      <c r="HQ122" s="54"/>
    </row>
    <row r="123" spans="1:225" x14ac:dyDescent="0.3">
      <c r="A123" s="513">
        <v>105</v>
      </c>
      <c r="B123" s="514" t="s">
        <v>528</v>
      </c>
      <c r="C123" s="514" t="s">
        <v>390</v>
      </c>
      <c r="D123" s="514" t="s">
        <v>390</v>
      </c>
      <c r="E123" s="513">
        <v>1</v>
      </c>
      <c r="F123" s="515">
        <v>5.92</v>
      </c>
      <c r="G123" s="515">
        <v>5.31</v>
      </c>
      <c r="H123" s="513">
        <v>6</v>
      </c>
      <c r="I123" s="517">
        <v>1</v>
      </c>
      <c r="J123" s="518" t="s">
        <v>42</v>
      </c>
      <c r="K123" s="513">
        <f t="shared" si="1452"/>
        <v>90</v>
      </c>
      <c r="L123" s="519">
        <v>7.5</v>
      </c>
      <c r="M123" s="519">
        <v>6.5299999999999994</v>
      </c>
      <c r="N123" s="519">
        <v>6.2299999999999995</v>
      </c>
      <c r="O123" s="519">
        <v>5.93</v>
      </c>
      <c r="P123" s="519">
        <v>5.47</v>
      </c>
      <c r="Q123" s="519">
        <v>5</v>
      </c>
      <c r="R123" s="519">
        <v>4.2</v>
      </c>
      <c r="S123" s="519">
        <v>0</v>
      </c>
      <c r="T123" s="519">
        <v>0</v>
      </c>
      <c r="U123" s="519">
        <v>0</v>
      </c>
      <c r="V123" s="536"/>
      <c r="W123" s="536"/>
      <c r="X123" s="536"/>
      <c r="Y123" s="536"/>
      <c r="Z123" s="536"/>
      <c r="AA123" s="536"/>
      <c r="AB123" s="536"/>
      <c r="AC123" s="536"/>
      <c r="AD123" s="536"/>
      <c r="AE123" s="536"/>
      <c r="AF123" s="54"/>
      <c r="AG123" s="204" t="str">
        <f t="shared" si="1253"/>
        <v>Com1</v>
      </c>
      <c r="AH123" s="204">
        <f t="shared" si="1112"/>
        <v>3</v>
      </c>
      <c r="AI123" s="204">
        <f t="shared" si="1453"/>
        <v>1</v>
      </c>
      <c r="AJ123" s="54"/>
      <c r="AK123" s="74">
        <f>IFERROR(IF(H123&gt;4,0,AI123*Inputs!$C$55),0)</f>
        <v>0</v>
      </c>
      <c r="AL123" s="81">
        <f>IFERROR(Inputs!$C$73,0)</f>
        <v>5</v>
      </c>
      <c r="AM123" s="211">
        <f>IFERROR(Inputs!$C$74,0)</f>
        <v>0.24299999999999999</v>
      </c>
      <c r="AN123" s="446">
        <f>IFERROR(HLOOKUP(HLOOKUP(AN$17,$V$18:$AE123,COUNTA($AK$18:$AK123),FALSE),Inputs!$B$58:$H$59,2,FALSE),0)</f>
        <v>0</v>
      </c>
      <c r="AO123" s="447">
        <f t="shared" si="1113"/>
        <v>0</v>
      </c>
      <c r="AP123" s="447">
        <f t="shared" si="1114"/>
        <v>0</v>
      </c>
      <c r="AQ123" s="446">
        <f>IFERROR(HLOOKUP(HLOOKUP(AQ$17,$V$18:$AE123,COUNTA($AK$18:$AK123),FALSE),Inputs!$B$58:$H$59,2,FALSE),0)</f>
        <v>0</v>
      </c>
      <c r="AR123" s="447">
        <f t="shared" ref="AR123" si="1555">2*$AK123*AQ123*$AL123/100*$AM123</f>
        <v>0</v>
      </c>
      <c r="AS123" s="447">
        <f t="shared" si="1116"/>
        <v>0</v>
      </c>
      <c r="AT123" s="446">
        <f>IFERROR(HLOOKUP(HLOOKUP(AT$17,$V$18:$AE123,COUNTA($AK$18:$AK123),FALSE),Inputs!$B$58:$H$59,2,FALSE),0)</f>
        <v>0</v>
      </c>
      <c r="AU123" s="447">
        <f t="shared" ref="AU123" si="1556">2*$AK123*AT123*$AL123/100*$AM123</f>
        <v>0</v>
      </c>
      <c r="AV123" s="447">
        <f t="shared" si="1118"/>
        <v>0</v>
      </c>
      <c r="AW123" s="446">
        <f>IFERROR(HLOOKUP(HLOOKUP(AW$17,$V$18:$AE123,COUNTA($AK$18:$AK123),FALSE),Inputs!$B$58:$H$59,2,FALSE),0)</f>
        <v>0</v>
      </c>
      <c r="AX123" s="447">
        <f t="shared" ref="AX123" si="1557">2*$AK123*AW123*$AL123/100*$AM123</f>
        <v>0</v>
      </c>
      <c r="AY123" s="447">
        <f t="shared" si="1120"/>
        <v>0</v>
      </c>
      <c r="AZ123" s="446">
        <f>IFERROR(HLOOKUP(HLOOKUP(AZ$17,$V$18:$AE123,COUNTA($AK$18:$AK123),FALSE),Inputs!$B$58:$H$59,2,FALSE),0)</f>
        <v>0</v>
      </c>
      <c r="BA123" s="447">
        <f t="shared" ref="BA123" si="1558">2*$AK123*AZ123*$AL123/100*$AM123</f>
        <v>0</v>
      </c>
      <c r="BB123" s="447">
        <f t="shared" si="1122"/>
        <v>0</v>
      </c>
      <c r="BC123" s="446">
        <f>IFERROR(HLOOKUP(HLOOKUP(BC$17,$V$18:$AE123,COUNTA($AK$18:$AK123),FALSE),Inputs!$B$58:$H$59,2,FALSE),0)</f>
        <v>0</v>
      </c>
      <c r="BD123" s="447">
        <f t="shared" ref="BD123" si="1559">2*$AK123*BC123*$AL123/100*$AM123</f>
        <v>0</v>
      </c>
      <c r="BE123" s="447">
        <f t="shared" si="1124"/>
        <v>0</v>
      </c>
      <c r="BF123" s="446">
        <f>IFERROR(HLOOKUP(HLOOKUP(BF$17,$V$18:$AE123,COUNTA($AK$18:$AK123),FALSE),Inputs!$B$58:$H$59,2,FALSE),0)</f>
        <v>0</v>
      </c>
      <c r="BG123" s="447">
        <f t="shared" ref="BG123" si="1560">2*$AK123*BF123*$AL123/100*$AM123</f>
        <v>0</v>
      </c>
      <c r="BH123" s="447">
        <f t="shared" si="1126"/>
        <v>0</v>
      </c>
      <c r="BI123" s="446">
        <f>IFERROR(HLOOKUP(HLOOKUP(BI$17,$V$18:$AE123,COUNTA($AK$18:$AK123),FALSE),Inputs!$B$58:$H$59,2,FALSE),0)</f>
        <v>0</v>
      </c>
      <c r="BJ123" s="447">
        <f t="shared" ref="BJ123" si="1561">2*$AK123*BI123*$AL123/100*$AM123</f>
        <v>0</v>
      </c>
      <c r="BK123" s="447">
        <f t="shared" si="1128"/>
        <v>0</v>
      </c>
      <c r="BL123" s="446">
        <f>IFERROR(HLOOKUP(HLOOKUP(BL$17,$V$18:$AE123,COUNTA($AK$18:$AK123),FALSE),Inputs!$B$58:$H$59,2,FALSE),0)</f>
        <v>0</v>
      </c>
      <c r="BM123" s="447">
        <f t="shared" ref="BM123" si="1562">2*$AK123*BL123*$AL123/100*$AM123</f>
        <v>0</v>
      </c>
      <c r="BN123" s="447">
        <f t="shared" si="1130"/>
        <v>0</v>
      </c>
      <c r="BO123" s="446">
        <f>IFERROR(HLOOKUP(HLOOKUP(BO$17,$V$18:$AE123,COUNTA($AK$18:$AK123),FALSE),Inputs!$B$58:$H$59,2,FALSE),0)</f>
        <v>0</v>
      </c>
      <c r="BP123" s="447">
        <f t="shared" ref="BP123" si="1563">2*$AK123*BO123*$AL123/100*$AM123</f>
        <v>0</v>
      </c>
      <c r="BQ123" s="447">
        <f t="shared" si="1132"/>
        <v>0</v>
      </c>
      <c r="BR123" s="54"/>
      <c r="BS123" s="103">
        <f t="shared" ca="1" si="1203"/>
        <v>331.70261910088504</v>
      </c>
      <c r="BT123" s="103">
        <f t="shared" ca="1" si="1204"/>
        <v>0</v>
      </c>
      <c r="BU123" s="103">
        <f t="shared" si="1205"/>
        <v>0</v>
      </c>
      <c r="BV123" s="103">
        <f t="shared" si="1206"/>
        <v>0</v>
      </c>
      <c r="BW123" s="152">
        <f t="shared" ca="1" si="1207"/>
        <v>331.70261910088504</v>
      </c>
      <c r="BX123" s="441"/>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188">
        <f t="shared" si="1133"/>
        <v>1.58</v>
      </c>
      <c r="DE123" s="188">
        <f t="shared" si="1134"/>
        <v>0.60999999999999943</v>
      </c>
      <c r="DF123" s="188">
        <f t="shared" si="1135"/>
        <v>0.30999999999999961</v>
      </c>
      <c r="DG123" s="188">
        <f t="shared" si="1136"/>
        <v>9.9999999999997868E-3</v>
      </c>
      <c r="DH123" s="188">
        <f t="shared" si="1137"/>
        <v>-0.3</v>
      </c>
      <c r="DI123" s="188">
        <f t="shared" si="1138"/>
        <v>-0.3</v>
      </c>
      <c r="DJ123" s="188">
        <f t="shared" si="1139"/>
        <v>-0.3</v>
      </c>
      <c r="DK123" s="188">
        <f t="shared" si="1140"/>
        <v>-0.3</v>
      </c>
      <c r="DL123" s="188">
        <f t="shared" si="1141"/>
        <v>-0.3</v>
      </c>
      <c r="DM123" s="188">
        <f t="shared" si="1142"/>
        <v>-0.3</v>
      </c>
      <c r="DN123" s="189">
        <f t="shared" si="1143"/>
        <v>2.1900000000000004</v>
      </c>
      <c r="DO123" s="189">
        <f t="shared" si="1144"/>
        <v>1.2199999999999998</v>
      </c>
      <c r="DP123" s="189">
        <f t="shared" si="1145"/>
        <v>0.91999999999999993</v>
      </c>
      <c r="DQ123" s="189">
        <f t="shared" si="1146"/>
        <v>0.62000000000000011</v>
      </c>
      <c r="DR123" s="189">
        <f t="shared" si="1147"/>
        <v>0.16000000000000014</v>
      </c>
      <c r="DS123" s="189">
        <f t="shared" si="1148"/>
        <v>0</v>
      </c>
      <c r="DT123" s="189">
        <f t="shared" si="1149"/>
        <v>0</v>
      </c>
      <c r="DU123" s="189">
        <f t="shared" si="1150"/>
        <v>0</v>
      </c>
      <c r="DV123" s="189">
        <f t="shared" si="1151"/>
        <v>0</v>
      </c>
      <c r="DW123" s="189">
        <f t="shared" si="1152"/>
        <v>0</v>
      </c>
      <c r="DX123" s="54"/>
      <c r="DY123" s="54"/>
      <c r="DZ123" s="199">
        <f t="shared" ca="1" si="1463"/>
        <v>88239.301164505858</v>
      </c>
      <c r="EA123" s="200">
        <f t="shared" si="1153"/>
        <v>1</v>
      </c>
      <c r="EB123" s="201">
        <f t="shared" ca="1" si="1464"/>
        <v>0</v>
      </c>
      <c r="EC123" s="200">
        <f t="shared" si="1154"/>
        <v>1</v>
      </c>
      <c r="ED123" s="201" cm="1">
        <f t="array" ref="ED123">IF(LEFT($AG123,3)="Res",IF(OR($DN123&gt;External_Threshold,$DD123&gt;0),1*Uplift*AWE*(External),0),0)</f>
        <v>0</v>
      </c>
      <c r="EE123" s="200">
        <f t="shared" si="1155"/>
        <v>1</v>
      </c>
      <c r="EF123" s="201">
        <f t="shared" si="1465"/>
        <v>0</v>
      </c>
      <c r="EG123" s="203">
        <f t="shared" si="1156"/>
        <v>0</v>
      </c>
      <c r="EH123" s="199">
        <f t="shared" ca="1" si="1466"/>
        <v>46668.061020107132</v>
      </c>
      <c r="EI123" s="200">
        <f t="shared" si="1059"/>
        <v>1</v>
      </c>
      <c r="EJ123" s="201">
        <f t="shared" ca="1" si="1467"/>
        <v>0</v>
      </c>
      <c r="EK123" s="200">
        <f t="shared" si="1061"/>
        <v>1</v>
      </c>
      <c r="EL123" s="201" cm="1">
        <f t="array" ref="EL123">IF(LEFT($AG123,3)="Res",IF(OR($DO123&gt;External_Threshold,$DE123&gt;0),1*Uplift*AWE*(External),0),0)</f>
        <v>0</v>
      </c>
      <c r="EM123" s="200">
        <f t="shared" si="1062"/>
        <v>1</v>
      </c>
      <c r="EN123" s="201">
        <f t="shared" si="1468"/>
        <v>0</v>
      </c>
      <c r="EO123" s="203">
        <f t="shared" si="1157"/>
        <v>0</v>
      </c>
      <c r="EP123" s="199">
        <f t="shared" ca="1" si="1469"/>
        <v>31866.925549258602</v>
      </c>
      <c r="EQ123" s="200">
        <f t="shared" si="1065"/>
        <v>1</v>
      </c>
      <c r="ER123" s="201">
        <f t="shared" ca="1" si="1470"/>
        <v>0</v>
      </c>
      <c r="ES123" s="200">
        <f t="shared" si="1067"/>
        <v>1</v>
      </c>
      <c r="ET123" s="201" cm="1">
        <f t="array" ref="ET123">IF(LEFT($AG123,3)="Res",IF(OR($DP123&gt;External_Threshold,$DF123&gt;0),1*Uplift*AWE*(External),0),0)</f>
        <v>0</v>
      </c>
      <c r="EU123" s="200">
        <f t="shared" si="1068"/>
        <v>1</v>
      </c>
      <c r="EV123" s="201">
        <f t="shared" si="1471"/>
        <v>0</v>
      </c>
      <c r="EW123" s="203">
        <f t="shared" si="1158"/>
        <v>0</v>
      </c>
      <c r="EX123" s="199">
        <f t="shared" ca="1" si="1472"/>
        <v>0</v>
      </c>
      <c r="EY123" s="200">
        <f t="shared" si="1071"/>
        <v>1</v>
      </c>
      <c r="EZ123" s="201">
        <f t="shared" ca="1" si="1473"/>
        <v>0</v>
      </c>
      <c r="FA123" s="200">
        <f t="shared" si="1073"/>
        <v>1</v>
      </c>
      <c r="FB123" s="201" cm="1">
        <f t="array" ref="FB123">IF(LEFT($AG123,3)="Res",IF(OR($DQ123&gt;External_Threshold,$DG123&gt;0),1*Uplift*AWE*(External),0),0)</f>
        <v>0</v>
      </c>
      <c r="FC123" s="200">
        <f t="shared" si="1074"/>
        <v>1</v>
      </c>
      <c r="FD123" s="201">
        <f t="shared" si="1075"/>
        <v>0</v>
      </c>
      <c r="FE123" s="203">
        <f t="shared" si="1159"/>
        <v>0</v>
      </c>
      <c r="FF123" s="199">
        <f t="shared" ca="1" si="1474"/>
        <v>0</v>
      </c>
      <c r="FG123" s="200">
        <f t="shared" si="1077"/>
        <v>0</v>
      </c>
      <c r="FH123" s="201">
        <f t="shared" ca="1" si="1475"/>
        <v>0</v>
      </c>
      <c r="FI123" s="200">
        <f t="shared" si="1079"/>
        <v>0</v>
      </c>
      <c r="FJ123" s="201" cm="1">
        <f t="array" ref="FJ123">IF(LEFT($AG123,3)="Res",IF(OR($DR123&gt;External_Threshold,$DH123&gt;0),1*Uplift*AWE*(External),0),0)</f>
        <v>0</v>
      </c>
      <c r="FK123" s="200">
        <f t="shared" si="1080"/>
        <v>1</v>
      </c>
      <c r="FL123" s="201">
        <f t="shared" si="1476"/>
        <v>0</v>
      </c>
      <c r="FM123" s="203">
        <f t="shared" si="1160"/>
        <v>0</v>
      </c>
      <c r="FN123" s="199">
        <f t="shared" ca="1" si="1477"/>
        <v>0</v>
      </c>
      <c r="FO123" s="200">
        <f t="shared" si="1083"/>
        <v>0</v>
      </c>
      <c r="FP123" s="201">
        <f t="shared" ca="1" si="1478"/>
        <v>0</v>
      </c>
      <c r="FQ123" s="200">
        <f t="shared" si="1085"/>
        <v>0</v>
      </c>
      <c r="FR123" s="201" cm="1">
        <f t="array" ref="FR123">IF(LEFT($AG123,3)="Res",IF(OR($DS123&gt;External_Threshold,$DI123&gt;0),1*Uplift*AWE*(External),0),0)</f>
        <v>0</v>
      </c>
      <c r="FS123" s="200">
        <f t="shared" si="1086"/>
        <v>0</v>
      </c>
      <c r="FT123" s="201">
        <f t="shared" si="1479"/>
        <v>0</v>
      </c>
      <c r="FU123" s="203">
        <f t="shared" si="1161"/>
        <v>0</v>
      </c>
      <c r="FV123" s="199">
        <f t="shared" ca="1" si="1480"/>
        <v>0</v>
      </c>
      <c r="FW123" s="200">
        <f t="shared" si="1089"/>
        <v>0</v>
      </c>
      <c r="FX123" s="201">
        <f t="shared" ca="1" si="1481"/>
        <v>0</v>
      </c>
      <c r="FY123" s="200">
        <f t="shared" si="1091"/>
        <v>0</v>
      </c>
      <c r="FZ123" s="201" cm="1">
        <f t="array" ref="FZ123">IF(LEFT($AG123,3)="Res",IF(OR($DT123&gt;External_Threshold,$DJ123&gt;0),1*Uplift*AWE*(External),0),0)</f>
        <v>0</v>
      </c>
      <c r="GA123" s="200">
        <f t="shared" si="1092"/>
        <v>0</v>
      </c>
      <c r="GB123" s="201">
        <f t="shared" si="1482"/>
        <v>0</v>
      </c>
      <c r="GC123" s="203">
        <f t="shared" si="1162"/>
        <v>0</v>
      </c>
      <c r="GD123" s="199">
        <f t="shared" ca="1" si="1483"/>
        <v>0</v>
      </c>
      <c r="GE123" s="200">
        <f t="shared" si="1095"/>
        <v>0</v>
      </c>
      <c r="GF123" s="201">
        <f t="shared" ca="1" si="1484"/>
        <v>0</v>
      </c>
      <c r="GG123" s="200">
        <f t="shared" si="1097"/>
        <v>0</v>
      </c>
      <c r="GH123" s="201" cm="1">
        <f t="array" ref="GH123">IF(LEFT($AG123,3)="Res",IF(OR($DU123&gt;External_Threshold,$DK123&gt;0),1*Uplift*AWE*(External),0),0)</f>
        <v>0</v>
      </c>
      <c r="GI123" s="200">
        <f t="shared" si="1098"/>
        <v>0</v>
      </c>
      <c r="GJ123" s="201">
        <f t="shared" si="1485"/>
        <v>0</v>
      </c>
      <c r="GK123" s="203">
        <f t="shared" si="1163"/>
        <v>0</v>
      </c>
      <c r="GL123" s="199">
        <f t="shared" ca="1" si="1486"/>
        <v>0</v>
      </c>
      <c r="GM123" s="200">
        <f t="shared" si="1101"/>
        <v>0</v>
      </c>
      <c r="GN123" s="201">
        <f t="shared" ca="1" si="1487"/>
        <v>0</v>
      </c>
      <c r="GO123" s="200">
        <f t="shared" si="1103"/>
        <v>0</v>
      </c>
      <c r="GP123" s="201" cm="1">
        <f t="array" ref="GP123">IF(LEFT($AG123,3)="Res",IF(OR($DV123&gt;External_Threshold,$DL123&gt;0),1*Uplift*AWE*(External),0),0)</f>
        <v>0</v>
      </c>
      <c r="GQ123" s="200">
        <f t="shared" si="1104"/>
        <v>0</v>
      </c>
      <c r="GR123" s="201">
        <f t="shared" si="1488"/>
        <v>0</v>
      </c>
      <c r="GS123" s="203">
        <f t="shared" si="1164"/>
        <v>0</v>
      </c>
      <c r="GT123" s="199">
        <f t="shared" ca="1" si="1489"/>
        <v>0</v>
      </c>
      <c r="GU123" s="200">
        <f t="shared" si="1107"/>
        <v>0</v>
      </c>
      <c r="GV123" s="201">
        <f t="shared" ca="1" si="1490"/>
        <v>0</v>
      </c>
      <c r="GW123" s="200">
        <f t="shared" si="1109"/>
        <v>0</v>
      </c>
      <c r="GX123" s="201" cm="1">
        <f t="array" ref="GX123">IF(LEFT($AG123,3)="Res",IF(OR($DW123&gt;External_Threshold,$DM123&gt;0),1*Uplift*AWE*(External),0),0)</f>
        <v>0</v>
      </c>
      <c r="GY123" s="200">
        <f t="shared" si="1110"/>
        <v>0</v>
      </c>
      <c r="GZ123" s="201">
        <f t="shared" si="1491"/>
        <v>0</v>
      </c>
      <c r="HA123" s="203">
        <f t="shared" si="1165"/>
        <v>0</v>
      </c>
      <c r="HB123" s="54"/>
      <c r="HC123" s="54"/>
      <c r="HD123" s="54"/>
      <c r="HE123" s="54"/>
      <c r="HF123" s="54"/>
      <c r="HG123" s="201">
        <f t="shared" ca="1" si="1166"/>
        <v>88239.301164505858</v>
      </c>
      <c r="HH123" s="201">
        <f t="shared" ca="1" si="1167"/>
        <v>46668.061020107132</v>
      </c>
      <c r="HI123" s="201">
        <f t="shared" ca="1" si="1168"/>
        <v>31866.925549258602</v>
      </c>
      <c r="HJ123" s="201">
        <f t="shared" ca="1" si="1169"/>
        <v>0</v>
      </c>
      <c r="HK123" s="201">
        <f t="shared" ca="1" si="1170"/>
        <v>0</v>
      </c>
      <c r="HL123" s="201">
        <f t="shared" ca="1" si="1171"/>
        <v>0</v>
      </c>
      <c r="HM123" s="201">
        <f t="shared" ca="1" si="1172"/>
        <v>0</v>
      </c>
      <c r="HN123" s="201">
        <f t="shared" ca="1" si="1173"/>
        <v>0</v>
      </c>
      <c r="HO123" s="201">
        <f t="shared" ca="1" si="1174"/>
        <v>0</v>
      </c>
      <c r="HP123" s="201">
        <f t="shared" ca="1" si="1175"/>
        <v>0</v>
      </c>
      <c r="HQ123" s="54"/>
    </row>
    <row r="124" spans="1:225" x14ac:dyDescent="0.3">
      <c r="A124" s="513">
        <v>106</v>
      </c>
      <c r="B124" s="514" t="s">
        <v>529</v>
      </c>
      <c r="C124" s="514" t="s">
        <v>390</v>
      </c>
      <c r="D124" s="514" t="s">
        <v>390</v>
      </c>
      <c r="E124" s="513">
        <v>1</v>
      </c>
      <c r="F124" s="515">
        <v>6.01</v>
      </c>
      <c r="G124" s="515">
        <v>5.6</v>
      </c>
      <c r="H124" s="513">
        <v>7</v>
      </c>
      <c r="I124" s="517">
        <v>1</v>
      </c>
      <c r="J124" s="518" t="s">
        <v>43</v>
      </c>
      <c r="K124" s="513">
        <f t="shared" si="1452"/>
        <v>180</v>
      </c>
      <c r="L124" s="519">
        <v>7.5</v>
      </c>
      <c r="M124" s="519">
        <v>6.5299999999999994</v>
      </c>
      <c r="N124" s="519">
        <v>6.2299999999999995</v>
      </c>
      <c r="O124" s="519">
        <v>5.93</v>
      </c>
      <c r="P124" s="519">
        <v>5.47</v>
      </c>
      <c r="Q124" s="519">
        <v>5</v>
      </c>
      <c r="R124" s="519">
        <v>4.2</v>
      </c>
      <c r="S124" s="519">
        <v>0</v>
      </c>
      <c r="T124" s="519">
        <v>0</v>
      </c>
      <c r="U124" s="519">
        <v>0</v>
      </c>
      <c r="V124" s="536"/>
      <c r="W124" s="536"/>
      <c r="X124" s="536"/>
      <c r="Y124" s="536"/>
      <c r="Z124" s="536"/>
      <c r="AA124" s="536"/>
      <c r="AB124" s="536"/>
      <c r="AC124" s="536"/>
      <c r="AD124" s="536"/>
      <c r="AE124" s="536"/>
      <c r="AF124" s="54"/>
      <c r="AG124" s="204" t="str">
        <f t="shared" si="1253"/>
        <v>Com1</v>
      </c>
      <c r="AH124" s="204">
        <f t="shared" si="1112"/>
        <v>4</v>
      </c>
      <c r="AI124" s="204">
        <f t="shared" si="1453"/>
        <v>1</v>
      </c>
      <c r="AJ124" s="54"/>
      <c r="AK124" s="74">
        <f>IFERROR(IF(H124&gt;4,0,AI124*Inputs!$C$55),0)</f>
        <v>0</v>
      </c>
      <c r="AL124" s="81">
        <f>IFERROR(Inputs!$C$73,0)</f>
        <v>5</v>
      </c>
      <c r="AM124" s="211">
        <f>IFERROR(Inputs!$C$74,0)</f>
        <v>0.24299999999999999</v>
      </c>
      <c r="AN124" s="446">
        <f>IFERROR(HLOOKUP(HLOOKUP(AN$17,$V$18:$AE124,COUNTA($AK$18:$AK124),FALSE),Inputs!$B$58:$H$59,2,FALSE),0)</f>
        <v>0</v>
      </c>
      <c r="AO124" s="447">
        <f t="shared" si="1113"/>
        <v>0</v>
      </c>
      <c r="AP124" s="447">
        <f t="shared" si="1114"/>
        <v>0</v>
      </c>
      <c r="AQ124" s="446">
        <f>IFERROR(HLOOKUP(HLOOKUP(AQ$17,$V$18:$AE124,COUNTA($AK$18:$AK124),FALSE),Inputs!$B$58:$H$59,2,FALSE),0)</f>
        <v>0</v>
      </c>
      <c r="AR124" s="447">
        <f t="shared" ref="AR124" si="1564">2*$AK124*AQ124*$AL124/100*$AM124</f>
        <v>0</v>
      </c>
      <c r="AS124" s="447">
        <f t="shared" si="1116"/>
        <v>0</v>
      </c>
      <c r="AT124" s="446">
        <f>IFERROR(HLOOKUP(HLOOKUP(AT$17,$V$18:$AE124,COUNTA($AK$18:$AK124),FALSE),Inputs!$B$58:$H$59,2,FALSE),0)</f>
        <v>0</v>
      </c>
      <c r="AU124" s="447">
        <f t="shared" ref="AU124" si="1565">2*$AK124*AT124*$AL124/100*$AM124</f>
        <v>0</v>
      </c>
      <c r="AV124" s="447">
        <f t="shared" si="1118"/>
        <v>0</v>
      </c>
      <c r="AW124" s="446">
        <f>IFERROR(HLOOKUP(HLOOKUP(AW$17,$V$18:$AE124,COUNTA($AK$18:$AK124),FALSE),Inputs!$B$58:$H$59,2,FALSE),0)</f>
        <v>0</v>
      </c>
      <c r="AX124" s="447">
        <f t="shared" ref="AX124" si="1566">2*$AK124*AW124*$AL124/100*$AM124</f>
        <v>0</v>
      </c>
      <c r="AY124" s="447">
        <f t="shared" si="1120"/>
        <v>0</v>
      </c>
      <c r="AZ124" s="446">
        <f>IFERROR(HLOOKUP(HLOOKUP(AZ$17,$V$18:$AE124,COUNTA($AK$18:$AK124),FALSE),Inputs!$B$58:$H$59,2,FALSE),0)</f>
        <v>0</v>
      </c>
      <c r="BA124" s="447">
        <f t="shared" ref="BA124" si="1567">2*$AK124*AZ124*$AL124/100*$AM124</f>
        <v>0</v>
      </c>
      <c r="BB124" s="447">
        <f t="shared" si="1122"/>
        <v>0</v>
      </c>
      <c r="BC124" s="446">
        <f>IFERROR(HLOOKUP(HLOOKUP(BC$17,$V$18:$AE124,COUNTA($AK$18:$AK124),FALSE),Inputs!$B$58:$H$59,2,FALSE),0)</f>
        <v>0</v>
      </c>
      <c r="BD124" s="447">
        <f t="shared" ref="BD124" si="1568">2*$AK124*BC124*$AL124/100*$AM124</f>
        <v>0</v>
      </c>
      <c r="BE124" s="447">
        <f t="shared" si="1124"/>
        <v>0</v>
      </c>
      <c r="BF124" s="446">
        <f>IFERROR(HLOOKUP(HLOOKUP(BF$17,$V$18:$AE124,COUNTA($AK$18:$AK124),FALSE),Inputs!$B$58:$H$59,2,FALSE),0)</f>
        <v>0</v>
      </c>
      <c r="BG124" s="447">
        <f t="shared" ref="BG124" si="1569">2*$AK124*BF124*$AL124/100*$AM124</f>
        <v>0</v>
      </c>
      <c r="BH124" s="447">
        <f t="shared" si="1126"/>
        <v>0</v>
      </c>
      <c r="BI124" s="446">
        <f>IFERROR(HLOOKUP(HLOOKUP(BI$17,$V$18:$AE124,COUNTA($AK$18:$AK124),FALSE),Inputs!$B$58:$H$59,2,FALSE),0)</f>
        <v>0</v>
      </c>
      <c r="BJ124" s="447">
        <f t="shared" ref="BJ124" si="1570">2*$AK124*BI124*$AL124/100*$AM124</f>
        <v>0</v>
      </c>
      <c r="BK124" s="447">
        <f t="shared" si="1128"/>
        <v>0</v>
      </c>
      <c r="BL124" s="446">
        <f>IFERROR(HLOOKUP(HLOOKUP(BL$17,$V$18:$AE124,COUNTA($AK$18:$AK124),FALSE),Inputs!$B$58:$H$59,2,FALSE),0)</f>
        <v>0</v>
      </c>
      <c r="BM124" s="447">
        <f t="shared" ref="BM124" si="1571">2*$AK124*BL124*$AL124/100*$AM124</f>
        <v>0</v>
      </c>
      <c r="BN124" s="447">
        <f t="shared" si="1130"/>
        <v>0</v>
      </c>
      <c r="BO124" s="446">
        <f>IFERROR(HLOOKUP(HLOOKUP(BO$17,$V$18:$AE124,COUNTA($AK$18:$AK124),FALSE),Inputs!$B$58:$H$59,2,FALSE),0)</f>
        <v>0</v>
      </c>
      <c r="BP124" s="447">
        <f t="shared" ref="BP124" si="1572">2*$AK124*BO124*$AL124/100*$AM124</f>
        <v>0</v>
      </c>
      <c r="BQ124" s="447">
        <f t="shared" si="1132"/>
        <v>0</v>
      </c>
      <c r="BR124" s="54"/>
      <c r="BS124" s="103">
        <f t="shared" ca="1" si="1203"/>
        <v>820.52677417087193</v>
      </c>
      <c r="BT124" s="103">
        <f t="shared" ca="1" si="1204"/>
        <v>0</v>
      </c>
      <c r="BU124" s="103">
        <f t="shared" si="1205"/>
        <v>0</v>
      </c>
      <c r="BV124" s="103">
        <f t="shared" si="1206"/>
        <v>0</v>
      </c>
      <c r="BW124" s="152">
        <f t="shared" ca="1" si="1207"/>
        <v>820.52677417087193</v>
      </c>
      <c r="BX124" s="441"/>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188">
        <f t="shared" si="1133"/>
        <v>1.4900000000000002</v>
      </c>
      <c r="DE124" s="188">
        <f t="shared" si="1134"/>
        <v>0.51999999999999957</v>
      </c>
      <c r="DF124" s="188">
        <f t="shared" si="1135"/>
        <v>0.21999999999999975</v>
      </c>
      <c r="DG124" s="188">
        <f t="shared" si="1136"/>
        <v>-8.0000000000000071E-2</v>
      </c>
      <c r="DH124" s="188">
        <f t="shared" si="1137"/>
        <v>-0.3</v>
      </c>
      <c r="DI124" s="188">
        <f t="shared" si="1138"/>
        <v>-0.3</v>
      </c>
      <c r="DJ124" s="188">
        <f t="shared" si="1139"/>
        <v>-0.3</v>
      </c>
      <c r="DK124" s="188">
        <f t="shared" si="1140"/>
        <v>-0.3</v>
      </c>
      <c r="DL124" s="188">
        <f t="shared" si="1141"/>
        <v>-0.3</v>
      </c>
      <c r="DM124" s="188">
        <f t="shared" si="1142"/>
        <v>-0.3</v>
      </c>
      <c r="DN124" s="189">
        <f t="shared" si="1143"/>
        <v>1.9000000000000004</v>
      </c>
      <c r="DO124" s="189">
        <f t="shared" si="1144"/>
        <v>0.92999999999999972</v>
      </c>
      <c r="DP124" s="189">
        <f t="shared" si="1145"/>
        <v>0.62999999999999989</v>
      </c>
      <c r="DQ124" s="189">
        <f t="shared" si="1146"/>
        <v>0.33000000000000007</v>
      </c>
      <c r="DR124" s="189">
        <f t="shared" si="1147"/>
        <v>0</v>
      </c>
      <c r="DS124" s="189">
        <f t="shared" si="1148"/>
        <v>0</v>
      </c>
      <c r="DT124" s="189">
        <f t="shared" si="1149"/>
        <v>0</v>
      </c>
      <c r="DU124" s="189">
        <f t="shared" si="1150"/>
        <v>0</v>
      </c>
      <c r="DV124" s="189">
        <f t="shared" si="1151"/>
        <v>0</v>
      </c>
      <c r="DW124" s="189">
        <f t="shared" si="1152"/>
        <v>0</v>
      </c>
      <c r="DX124" s="54"/>
      <c r="DY124" s="54"/>
      <c r="DZ124" s="199">
        <f t="shared" ca="1" si="1463"/>
        <v>249173.4161167611</v>
      </c>
      <c r="EA124" s="200">
        <f t="shared" si="1153"/>
        <v>1</v>
      </c>
      <c r="EB124" s="201">
        <f t="shared" ca="1" si="1464"/>
        <v>0</v>
      </c>
      <c r="EC124" s="200">
        <f t="shared" si="1154"/>
        <v>1</v>
      </c>
      <c r="ED124" s="201" cm="1">
        <f t="array" ref="ED124">IF(LEFT($AG124,3)="Res",IF(OR($DN124&gt;External_Threshold,$DD124&gt;0),1*Uplift*AWE*(External),0),0)</f>
        <v>0</v>
      </c>
      <c r="EE124" s="200">
        <f t="shared" si="1155"/>
        <v>1</v>
      </c>
      <c r="EF124" s="201">
        <f t="shared" si="1465"/>
        <v>0</v>
      </c>
      <c r="EG124" s="203">
        <f t="shared" si="1156"/>
        <v>0</v>
      </c>
      <c r="EH124" s="199">
        <f t="shared" ca="1" si="1466"/>
        <v>120565.89767875167</v>
      </c>
      <c r="EI124" s="200">
        <f t="shared" si="1059"/>
        <v>1</v>
      </c>
      <c r="EJ124" s="201">
        <f t="shared" ca="1" si="1467"/>
        <v>0</v>
      </c>
      <c r="EK124" s="200">
        <f t="shared" si="1061"/>
        <v>1</v>
      </c>
      <c r="EL124" s="201" cm="1">
        <f t="array" ref="EL124">IF(LEFT($AG124,3)="Res",IF(OR($DO124&gt;External_Threshold,$DE124&gt;0),1*Uplift*AWE*(External),0),0)</f>
        <v>0</v>
      </c>
      <c r="EM124" s="200">
        <f t="shared" si="1062"/>
        <v>1</v>
      </c>
      <c r="EN124" s="201">
        <f t="shared" si="1468"/>
        <v>0</v>
      </c>
      <c r="EO124" s="203">
        <f t="shared" si="1157"/>
        <v>0</v>
      </c>
      <c r="EP124" s="199">
        <f t="shared" ca="1" si="1469"/>
        <v>67946.827606552295</v>
      </c>
      <c r="EQ124" s="200">
        <f t="shared" si="1065"/>
        <v>1</v>
      </c>
      <c r="ER124" s="201">
        <f t="shared" ca="1" si="1470"/>
        <v>0</v>
      </c>
      <c r="ES124" s="200">
        <f t="shared" si="1067"/>
        <v>1</v>
      </c>
      <c r="ET124" s="201" cm="1">
        <f t="array" ref="ET124">IF(LEFT($AG124,3)="Res",IF(OR($DP124&gt;External_Threshold,$DF124&gt;0),1*Uplift*AWE*(External),0),0)</f>
        <v>0</v>
      </c>
      <c r="EU124" s="200">
        <f t="shared" si="1068"/>
        <v>1</v>
      </c>
      <c r="EV124" s="201">
        <f t="shared" si="1471"/>
        <v>0</v>
      </c>
      <c r="EW124" s="203">
        <f t="shared" si="1158"/>
        <v>0</v>
      </c>
      <c r="EX124" s="199">
        <f t="shared" ca="1" si="1472"/>
        <v>0</v>
      </c>
      <c r="EY124" s="200">
        <f t="shared" si="1071"/>
        <v>0</v>
      </c>
      <c r="EZ124" s="201">
        <f t="shared" ca="1" si="1473"/>
        <v>0</v>
      </c>
      <c r="FA124" s="200">
        <f t="shared" si="1073"/>
        <v>0</v>
      </c>
      <c r="FB124" s="201" cm="1">
        <f t="array" ref="FB124">IF(LEFT($AG124,3)="Res",IF(OR($DQ124&gt;External_Threshold,$DG124&gt;0),1*Uplift*AWE*(External),0),0)</f>
        <v>0</v>
      </c>
      <c r="FC124" s="200">
        <f t="shared" si="1074"/>
        <v>1</v>
      </c>
      <c r="FD124" s="201">
        <f t="shared" si="1075"/>
        <v>0</v>
      </c>
      <c r="FE124" s="203">
        <f t="shared" si="1159"/>
        <v>0</v>
      </c>
      <c r="FF124" s="199">
        <f t="shared" ca="1" si="1474"/>
        <v>0</v>
      </c>
      <c r="FG124" s="200">
        <f t="shared" si="1077"/>
        <v>0</v>
      </c>
      <c r="FH124" s="201">
        <f t="shared" ca="1" si="1475"/>
        <v>0</v>
      </c>
      <c r="FI124" s="200">
        <f t="shared" si="1079"/>
        <v>0</v>
      </c>
      <c r="FJ124" s="201" cm="1">
        <f t="array" ref="FJ124">IF(LEFT($AG124,3)="Res",IF(OR($DR124&gt;External_Threshold,$DH124&gt;0),1*Uplift*AWE*(External),0),0)</f>
        <v>0</v>
      </c>
      <c r="FK124" s="200">
        <f t="shared" si="1080"/>
        <v>0</v>
      </c>
      <c r="FL124" s="201">
        <f t="shared" si="1476"/>
        <v>0</v>
      </c>
      <c r="FM124" s="203">
        <f t="shared" si="1160"/>
        <v>0</v>
      </c>
      <c r="FN124" s="199">
        <f t="shared" ca="1" si="1477"/>
        <v>0</v>
      </c>
      <c r="FO124" s="200">
        <f t="shared" si="1083"/>
        <v>0</v>
      </c>
      <c r="FP124" s="201">
        <f t="shared" ca="1" si="1478"/>
        <v>0</v>
      </c>
      <c r="FQ124" s="200">
        <f t="shared" si="1085"/>
        <v>0</v>
      </c>
      <c r="FR124" s="201" cm="1">
        <f t="array" ref="FR124">IF(LEFT($AG124,3)="Res",IF(OR($DS124&gt;External_Threshold,$DI124&gt;0),1*Uplift*AWE*(External),0),0)</f>
        <v>0</v>
      </c>
      <c r="FS124" s="200">
        <f t="shared" si="1086"/>
        <v>0</v>
      </c>
      <c r="FT124" s="201">
        <f t="shared" si="1479"/>
        <v>0</v>
      </c>
      <c r="FU124" s="203">
        <f t="shared" si="1161"/>
        <v>0</v>
      </c>
      <c r="FV124" s="199">
        <f t="shared" ca="1" si="1480"/>
        <v>0</v>
      </c>
      <c r="FW124" s="200">
        <f t="shared" si="1089"/>
        <v>0</v>
      </c>
      <c r="FX124" s="201">
        <f t="shared" ca="1" si="1481"/>
        <v>0</v>
      </c>
      <c r="FY124" s="200">
        <f t="shared" si="1091"/>
        <v>0</v>
      </c>
      <c r="FZ124" s="201" cm="1">
        <f t="array" ref="FZ124">IF(LEFT($AG124,3)="Res",IF(OR($DT124&gt;External_Threshold,$DJ124&gt;0),1*Uplift*AWE*(External),0),0)</f>
        <v>0</v>
      </c>
      <c r="GA124" s="200">
        <f t="shared" si="1092"/>
        <v>0</v>
      </c>
      <c r="GB124" s="201">
        <f t="shared" si="1482"/>
        <v>0</v>
      </c>
      <c r="GC124" s="203">
        <f t="shared" si="1162"/>
        <v>0</v>
      </c>
      <c r="GD124" s="199">
        <f t="shared" ca="1" si="1483"/>
        <v>0</v>
      </c>
      <c r="GE124" s="200">
        <f t="shared" si="1095"/>
        <v>0</v>
      </c>
      <c r="GF124" s="201">
        <f t="shared" ca="1" si="1484"/>
        <v>0</v>
      </c>
      <c r="GG124" s="200">
        <f t="shared" si="1097"/>
        <v>0</v>
      </c>
      <c r="GH124" s="201" cm="1">
        <f t="array" ref="GH124">IF(LEFT($AG124,3)="Res",IF(OR($DU124&gt;External_Threshold,$DK124&gt;0),1*Uplift*AWE*(External),0),0)</f>
        <v>0</v>
      </c>
      <c r="GI124" s="200">
        <f t="shared" si="1098"/>
        <v>0</v>
      </c>
      <c r="GJ124" s="201">
        <f t="shared" si="1485"/>
        <v>0</v>
      </c>
      <c r="GK124" s="203">
        <f t="shared" si="1163"/>
        <v>0</v>
      </c>
      <c r="GL124" s="199">
        <f t="shared" ca="1" si="1486"/>
        <v>0</v>
      </c>
      <c r="GM124" s="200">
        <f t="shared" si="1101"/>
        <v>0</v>
      </c>
      <c r="GN124" s="201">
        <f t="shared" ca="1" si="1487"/>
        <v>0</v>
      </c>
      <c r="GO124" s="200">
        <f t="shared" si="1103"/>
        <v>0</v>
      </c>
      <c r="GP124" s="201" cm="1">
        <f t="array" ref="GP124">IF(LEFT($AG124,3)="Res",IF(OR($DV124&gt;External_Threshold,$DL124&gt;0),1*Uplift*AWE*(External),0),0)</f>
        <v>0</v>
      </c>
      <c r="GQ124" s="200">
        <f t="shared" si="1104"/>
        <v>0</v>
      </c>
      <c r="GR124" s="201">
        <f t="shared" si="1488"/>
        <v>0</v>
      </c>
      <c r="GS124" s="203">
        <f t="shared" si="1164"/>
        <v>0</v>
      </c>
      <c r="GT124" s="199">
        <f t="shared" ca="1" si="1489"/>
        <v>0</v>
      </c>
      <c r="GU124" s="200">
        <f t="shared" si="1107"/>
        <v>0</v>
      </c>
      <c r="GV124" s="201">
        <f t="shared" ca="1" si="1490"/>
        <v>0</v>
      </c>
      <c r="GW124" s="200">
        <f t="shared" si="1109"/>
        <v>0</v>
      </c>
      <c r="GX124" s="201" cm="1">
        <f t="array" ref="GX124">IF(LEFT($AG124,3)="Res",IF(OR($DW124&gt;External_Threshold,$DM124&gt;0),1*Uplift*AWE*(External),0),0)</f>
        <v>0</v>
      </c>
      <c r="GY124" s="200">
        <f t="shared" si="1110"/>
        <v>0</v>
      </c>
      <c r="GZ124" s="201">
        <f t="shared" si="1491"/>
        <v>0</v>
      </c>
      <c r="HA124" s="203">
        <f t="shared" si="1165"/>
        <v>0</v>
      </c>
      <c r="HB124" s="54"/>
      <c r="HC124" s="54"/>
      <c r="HD124" s="54"/>
      <c r="HE124" s="54"/>
      <c r="HF124" s="54"/>
      <c r="HG124" s="201">
        <f t="shared" ca="1" si="1166"/>
        <v>249173.4161167611</v>
      </c>
      <c r="HH124" s="201">
        <f t="shared" ca="1" si="1167"/>
        <v>120565.89767875167</v>
      </c>
      <c r="HI124" s="201">
        <f t="shared" ca="1" si="1168"/>
        <v>67946.827606552295</v>
      </c>
      <c r="HJ124" s="201">
        <f t="shared" ca="1" si="1169"/>
        <v>0</v>
      </c>
      <c r="HK124" s="201">
        <f t="shared" ca="1" si="1170"/>
        <v>0</v>
      </c>
      <c r="HL124" s="201">
        <f t="shared" ca="1" si="1171"/>
        <v>0</v>
      </c>
      <c r="HM124" s="201">
        <f t="shared" ca="1" si="1172"/>
        <v>0</v>
      </c>
      <c r="HN124" s="201">
        <f t="shared" ca="1" si="1173"/>
        <v>0</v>
      </c>
      <c r="HO124" s="201">
        <f t="shared" ca="1" si="1174"/>
        <v>0</v>
      </c>
      <c r="HP124" s="201">
        <f t="shared" ca="1" si="1175"/>
        <v>0</v>
      </c>
      <c r="HQ124" s="54"/>
    </row>
    <row r="125" spans="1:225" x14ac:dyDescent="0.3">
      <c r="A125" s="513">
        <v>107</v>
      </c>
      <c r="B125" s="514" t="s">
        <v>530</v>
      </c>
      <c r="C125" s="514" t="s">
        <v>390</v>
      </c>
      <c r="D125" s="514" t="s">
        <v>390</v>
      </c>
      <c r="E125" s="513">
        <v>1</v>
      </c>
      <c r="F125" s="515">
        <v>4.78</v>
      </c>
      <c r="G125" s="515">
        <v>3.09</v>
      </c>
      <c r="H125" s="513">
        <v>8</v>
      </c>
      <c r="I125" s="517">
        <v>1</v>
      </c>
      <c r="J125" s="518" t="s">
        <v>44</v>
      </c>
      <c r="K125" s="513">
        <f t="shared" si="1452"/>
        <v>240</v>
      </c>
      <c r="L125" s="519">
        <v>7.5</v>
      </c>
      <c r="M125" s="519">
        <v>6.52</v>
      </c>
      <c r="N125" s="519">
        <v>6.22</v>
      </c>
      <c r="O125" s="519">
        <v>5.92</v>
      </c>
      <c r="P125" s="519">
        <v>5.46</v>
      </c>
      <c r="Q125" s="519">
        <v>4.9800000000000004</v>
      </c>
      <c r="R125" s="519">
        <v>4.1800000000000006</v>
      </c>
      <c r="S125" s="519">
        <v>0</v>
      </c>
      <c r="T125" s="519">
        <v>0</v>
      </c>
      <c r="U125" s="519">
        <v>0</v>
      </c>
      <c r="V125" s="536"/>
      <c r="W125" s="536"/>
      <c r="X125" s="536"/>
      <c r="Y125" s="536"/>
      <c r="Z125" s="536"/>
      <c r="AA125" s="536"/>
      <c r="AB125" s="536"/>
      <c r="AC125" s="536"/>
      <c r="AD125" s="536"/>
      <c r="AE125" s="536"/>
      <c r="AF125" s="54"/>
      <c r="AG125" s="204" t="str">
        <f t="shared" si="1253"/>
        <v>Com1</v>
      </c>
      <c r="AH125" s="204">
        <f t="shared" si="1112"/>
        <v>5</v>
      </c>
      <c r="AI125" s="204">
        <f t="shared" si="1453"/>
        <v>1</v>
      </c>
      <c r="AJ125" s="54"/>
      <c r="AK125" s="74">
        <f>IFERROR(IF(H125&gt;4,0,AI125*Inputs!$C$55),0)</f>
        <v>0</v>
      </c>
      <c r="AL125" s="81">
        <f>IFERROR(Inputs!$C$73,0)</f>
        <v>5</v>
      </c>
      <c r="AM125" s="211">
        <f>IFERROR(Inputs!$C$74,0)</f>
        <v>0.24299999999999999</v>
      </c>
      <c r="AN125" s="446">
        <f>IFERROR(HLOOKUP(HLOOKUP(AN$17,$V$18:$AE125,COUNTA($AK$18:$AK125),FALSE),Inputs!$B$58:$H$59,2,FALSE),0)</f>
        <v>0</v>
      </c>
      <c r="AO125" s="447">
        <f t="shared" si="1113"/>
        <v>0</v>
      </c>
      <c r="AP125" s="447">
        <f t="shared" si="1114"/>
        <v>0</v>
      </c>
      <c r="AQ125" s="446">
        <f>IFERROR(HLOOKUP(HLOOKUP(AQ$17,$V$18:$AE125,COUNTA($AK$18:$AK125),FALSE),Inputs!$B$58:$H$59,2,FALSE),0)</f>
        <v>0</v>
      </c>
      <c r="AR125" s="447">
        <f t="shared" ref="AR125" si="1573">2*$AK125*AQ125*$AL125/100*$AM125</f>
        <v>0</v>
      </c>
      <c r="AS125" s="447">
        <f t="shared" si="1116"/>
        <v>0</v>
      </c>
      <c r="AT125" s="446">
        <f>IFERROR(HLOOKUP(HLOOKUP(AT$17,$V$18:$AE125,COUNTA($AK$18:$AK125),FALSE),Inputs!$B$58:$H$59,2,FALSE),0)</f>
        <v>0</v>
      </c>
      <c r="AU125" s="447">
        <f t="shared" ref="AU125" si="1574">2*$AK125*AT125*$AL125/100*$AM125</f>
        <v>0</v>
      </c>
      <c r="AV125" s="447">
        <f t="shared" si="1118"/>
        <v>0</v>
      </c>
      <c r="AW125" s="446">
        <f>IFERROR(HLOOKUP(HLOOKUP(AW$17,$V$18:$AE125,COUNTA($AK$18:$AK125),FALSE),Inputs!$B$58:$H$59,2,FALSE),0)</f>
        <v>0</v>
      </c>
      <c r="AX125" s="447">
        <f t="shared" ref="AX125" si="1575">2*$AK125*AW125*$AL125/100*$AM125</f>
        <v>0</v>
      </c>
      <c r="AY125" s="447">
        <f t="shared" si="1120"/>
        <v>0</v>
      </c>
      <c r="AZ125" s="446">
        <f>IFERROR(HLOOKUP(HLOOKUP(AZ$17,$V$18:$AE125,COUNTA($AK$18:$AK125),FALSE),Inputs!$B$58:$H$59,2,FALSE),0)</f>
        <v>0</v>
      </c>
      <c r="BA125" s="447">
        <f t="shared" ref="BA125" si="1576">2*$AK125*AZ125*$AL125/100*$AM125</f>
        <v>0</v>
      </c>
      <c r="BB125" s="447">
        <f t="shared" si="1122"/>
        <v>0</v>
      </c>
      <c r="BC125" s="446">
        <f>IFERROR(HLOOKUP(HLOOKUP(BC$17,$V$18:$AE125,COUNTA($AK$18:$AK125),FALSE),Inputs!$B$58:$H$59,2,FALSE),0)</f>
        <v>0</v>
      </c>
      <c r="BD125" s="447">
        <f t="shared" ref="BD125" si="1577">2*$AK125*BC125*$AL125/100*$AM125</f>
        <v>0</v>
      </c>
      <c r="BE125" s="447">
        <f t="shared" si="1124"/>
        <v>0</v>
      </c>
      <c r="BF125" s="446">
        <f>IFERROR(HLOOKUP(HLOOKUP(BF$17,$V$18:$AE125,COUNTA($AK$18:$AK125),FALSE),Inputs!$B$58:$H$59,2,FALSE),0)</f>
        <v>0</v>
      </c>
      <c r="BG125" s="447">
        <f t="shared" ref="BG125" si="1578">2*$AK125*BF125*$AL125/100*$AM125</f>
        <v>0</v>
      </c>
      <c r="BH125" s="447">
        <f t="shared" si="1126"/>
        <v>0</v>
      </c>
      <c r="BI125" s="446">
        <f>IFERROR(HLOOKUP(HLOOKUP(BI$17,$V$18:$AE125,COUNTA($AK$18:$AK125),FALSE),Inputs!$B$58:$H$59,2,FALSE),0)</f>
        <v>0</v>
      </c>
      <c r="BJ125" s="447">
        <f t="shared" ref="BJ125" si="1579">2*$AK125*BI125*$AL125/100*$AM125</f>
        <v>0</v>
      </c>
      <c r="BK125" s="447">
        <f t="shared" si="1128"/>
        <v>0</v>
      </c>
      <c r="BL125" s="446">
        <f>IFERROR(HLOOKUP(HLOOKUP(BL$17,$V$18:$AE125,COUNTA($AK$18:$AK125),FALSE),Inputs!$B$58:$H$59,2,FALSE),0)</f>
        <v>0</v>
      </c>
      <c r="BM125" s="447">
        <f t="shared" ref="BM125" si="1580">2*$AK125*BL125*$AL125/100*$AM125</f>
        <v>0</v>
      </c>
      <c r="BN125" s="447">
        <f t="shared" si="1130"/>
        <v>0</v>
      </c>
      <c r="BO125" s="446">
        <f>IFERROR(HLOOKUP(HLOOKUP(BO$17,$V$18:$AE125,COUNTA($AK$18:$AK125),FALSE),Inputs!$B$58:$H$59,2,FALSE),0)</f>
        <v>0</v>
      </c>
      <c r="BP125" s="447">
        <f t="shared" ref="BP125" si="1581">2*$AK125*BO125*$AL125/100*$AM125</f>
        <v>0</v>
      </c>
      <c r="BQ125" s="447">
        <f t="shared" si="1132"/>
        <v>0</v>
      </c>
      <c r="BR125" s="54"/>
      <c r="BS125" s="103">
        <f t="shared" ca="1" si="1203"/>
        <v>17115.412003923302</v>
      </c>
      <c r="BT125" s="103">
        <f t="shared" ca="1" si="1204"/>
        <v>0</v>
      </c>
      <c r="BU125" s="103">
        <f t="shared" si="1205"/>
        <v>0</v>
      </c>
      <c r="BV125" s="103">
        <f t="shared" si="1206"/>
        <v>0</v>
      </c>
      <c r="BW125" s="152">
        <f t="shared" ca="1" si="1207"/>
        <v>17115.412003923302</v>
      </c>
      <c r="BX125" s="441"/>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188">
        <f t="shared" si="1133"/>
        <v>2.7199999999999998</v>
      </c>
      <c r="DE125" s="188">
        <f t="shared" si="1134"/>
        <v>1.7399999999999993</v>
      </c>
      <c r="DF125" s="188">
        <f t="shared" si="1135"/>
        <v>1.4399999999999995</v>
      </c>
      <c r="DG125" s="188">
        <f t="shared" si="1136"/>
        <v>1.1399999999999997</v>
      </c>
      <c r="DH125" s="188">
        <f t="shared" si="1137"/>
        <v>0.67999999999999972</v>
      </c>
      <c r="DI125" s="188">
        <f t="shared" si="1138"/>
        <v>0.20000000000000018</v>
      </c>
      <c r="DJ125" s="188">
        <f t="shared" si="1139"/>
        <v>-0.3</v>
      </c>
      <c r="DK125" s="188">
        <f t="shared" si="1140"/>
        <v>-0.3</v>
      </c>
      <c r="DL125" s="188">
        <f t="shared" si="1141"/>
        <v>-0.3</v>
      </c>
      <c r="DM125" s="188">
        <f t="shared" si="1142"/>
        <v>-0.3</v>
      </c>
      <c r="DN125" s="189">
        <f t="shared" si="1143"/>
        <v>4.41</v>
      </c>
      <c r="DO125" s="189">
        <f t="shared" si="1144"/>
        <v>3.4299999999999997</v>
      </c>
      <c r="DP125" s="189">
        <f t="shared" si="1145"/>
        <v>3.13</v>
      </c>
      <c r="DQ125" s="189">
        <f t="shared" si="1146"/>
        <v>2.83</v>
      </c>
      <c r="DR125" s="189">
        <f t="shared" si="1147"/>
        <v>2.37</v>
      </c>
      <c r="DS125" s="189">
        <f t="shared" si="1148"/>
        <v>1.8900000000000006</v>
      </c>
      <c r="DT125" s="189">
        <f t="shared" si="1149"/>
        <v>1.0900000000000007</v>
      </c>
      <c r="DU125" s="189">
        <f t="shared" si="1150"/>
        <v>0</v>
      </c>
      <c r="DV125" s="189">
        <f t="shared" si="1151"/>
        <v>0</v>
      </c>
      <c r="DW125" s="189">
        <f t="shared" si="1152"/>
        <v>0</v>
      </c>
      <c r="DX125" s="54"/>
      <c r="DY125" s="54"/>
      <c r="DZ125" s="199">
        <f t="shared" ca="1" si="1463"/>
        <v>529907.61003027717</v>
      </c>
      <c r="EA125" s="200">
        <f t="shared" si="1153"/>
        <v>1</v>
      </c>
      <c r="EB125" s="201">
        <f t="shared" ca="1" si="1464"/>
        <v>0</v>
      </c>
      <c r="EC125" s="200">
        <f t="shared" si="1154"/>
        <v>1</v>
      </c>
      <c r="ED125" s="201" cm="1">
        <f t="array" ref="ED125">IF(LEFT($AG125,3)="Res",IF(OR($DN125&gt;External_Threshold,$DD125&gt;0),1*Uplift*AWE*(External),0),0)</f>
        <v>0</v>
      </c>
      <c r="EE125" s="200">
        <f t="shared" si="1155"/>
        <v>1</v>
      </c>
      <c r="EF125" s="201">
        <f t="shared" si="1465"/>
        <v>0</v>
      </c>
      <c r="EG125" s="203">
        <f t="shared" si="1156"/>
        <v>0</v>
      </c>
      <c r="EH125" s="199">
        <f t="shared" ca="1" si="1466"/>
        <v>486505.32474186795</v>
      </c>
      <c r="EI125" s="200">
        <f t="shared" si="1059"/>
        <v>1</v>
      </c>
      <c r="EJ125" s="201">
        <f t="shared" ca="1" si="1467"/>
        <v>0</v>
      </c>
      <c r="EK125" s="200">
        <f t="shared" si="1061"/>
        <v>1</v>
      </c>
      <c r="EL125" s="201" cm="1">
        <f t="array" ref="EL125">IF(LEFT($AG125,3)="Res",IF(OR($DO125&gt;External_Threshold,$DE125&gt;0),1*Uplift*AWE*(External),0),0)</f>
        <v>0</v>
      </c>
      <c r="EM125" s="200">
        <f t="shared" si="1062"/>
        <v>1</v>
      </c>
      <c r="EN125" s="201">
        <f t="shared" si="1468"/>
        <v>0</v>
      </c>
      <c r="EO125" s="203">
        <f t="shared" si="1157"/>
        <v>0</v>
      </c>
      <c r="EP125" s="199">
        <f t="shared" ca="1" si="1469"/>
        <v>454713.88767952798</v>
      </c>
      <c r="EQ125" s="200">
        <f t="shared" si="1065"/>
        <v>1</v>
      </c>
      <c r="ER125" s="201">
        <f t="shared" ca="1" si="1470"/>
        <v>0</v>
      </c>
      <c r="ES125" s="200">
        <f t="shared" si="1067"/>
        <v>1</v>
      </c>
      <c r="ET125" s="201" cm="1">
        <f t="array" ref="ET125">IF(LEFT($AG125,3)="Res",IF(OR($DP125&gt;External_Threshold,$DF125&gt;0),1*Uplift*AWE*(External),0),0)</f>
        <v>0</v>
      </c>
      <c r="EU125" s="200">
        <f t="shared" si="1068"/>
        <v>1</v>
      </c>
      <c r="EV125" s="201">
        <f t="shared" si="1471"/>
        <v>0</v>
      </c>
      <c r="EW125" s="203">
        <f t="shared" si="1158"/>
        <v>0</v>
      </c>
      <c r="EX125" s="199">
        <f t="shared" ca="1" si="1472"/>
        <v>404488.881049608</v>
      </c>
      <c r="EY125" s="200">
        <f t="shared" si="1071"/>
        <v>1</v>
      </c>
      <c r="EZ125" s="201">
        <f t="shared" ca="1" si="1473"/>
        <v>0</v>
      </c>
      <c r="FA125" s="200">
        <f t="shared" si="1073"/>
        <v>1</v>
      </c>
      <c r="FB125" s="201" cm="1">
        <f t="array" ref="FB125">IF(LEFT($AG125,3)="Res",IF(OR($DQ125&gt;External_Threshold,$DG125&gt;0),1*Uplift*AWE*(External),0),0)</f>
        <v>0</v>
      </c>
      <c r="FC125" s="200">
        <f t="shared" si="1074"/>
        <v>1</v>
      </c>
      <c r="FD125" s="201">
        <f t="shared" si="1075"/>
        <v>0</v>
      </c>
      <c r="FE125" s="203">
        <f t="shared" si="1159"/>
        <v>0</v>
      </c>
      <c r="FF125" s="199">
        <f t="shared" ca="1" si="1474"/>
        <v>275209.45516652439</v>
      </c>
      <c r="FG125" s="200">
        <f t="shared" si="1077"/>
        <v>1</v>
      </c>
      <c r="FH125" s="201">
        <f t="shared" ca="1" si="1475"/>
        <v>0</v>
      </c>
      <c r="FI125" s="200">
        <f t="shared" si="1079"/>
        <v>1</v>
      </c>
      <c r="FJ125" s="201" cm="1">
        <f t="array" ref="FJ125">IF(LEFT($AG125,3)="Res",IF(OR($DR125&gt;External_Threshold,$DH125&gt;0),1*Uplift*AWE*(External),0),0)</f>
        <v>0</v>
      </c>
      <c r="FK125" s="200">
        <f t="shared" si="1080"/>
        <v>1</v>
      </c>
      <c r="FL125" s="201">
        <f t="shared" si="1476"/>
        <v>0</v>
      </c>
      <c r="FM125" s="203">
        <f t="shared" si="1160"/>
        <v>0</v>
      </c>
      <c r="FN125" s="199">
        <f t="shared" ca="1" si="1477"/>
        <v>125440.29711978885</v>
      </c>
      <c r="FO125" s="200">
        <f t="shared" si="1083"/>
        <v>1</v>
      </c>
      <c r="FP125" s="201">
        <f t="shared" ca="1" si="1478"/>
        <v>0</v>
      </c>
      <c r="FQ125" s="200">
        <f t="shared" si="1085"/>
        <v>1</v>
      </c>
      <c r="FR125" s="201" cm="1">
        <f t="array" ref="FR125">IF(LEFT($AG125,3)="Res",IF(OR($DS125&gt;External_Threshold,$DI125&gt;0),1*Uplift*AWE*(External),0),0)</f>
        <v>0</v>
      </c>
      <c r="FS125" s="200">
        <f t="shared" si="1086"/>
        <v>1</v>
      </c>
      <c r="FT125" s="201">
        <f t="shared" si="1479"/>
        <v>0</v>
      </c>
      <c r="FU125" s="203">
        <f t="shared" si="1161"/>
        <v>0</v>
      </c>
      <c r="FV125" s="199">
        <f t="shared" ca="1" si="1480"/>
        <v>0</v>
      </c>
      <c r="FW125" s="200">
        <f t="shared" si="1089"/>
        <v>0</v>
      </c>
      <c r="FX125" s="201">
        <f t="shared" ca="1" si="1481"/>
        <v>0</v>
      </c>
      <c r="FY125" s="200">
        <f t="shared" si="1091"/>
        <v>0</v>
      </c>
      <c r="FZ125" s="201" cm="1">
        <f t="array" ref="FZ125">IF(LEFT($AG125,3)="Res",IF(OR($DT125&gt;External_Threshold,$DJ125&gt;0),1*Uplift*AWE*(External),0),0)</f>
        <v>0</v>
      </c>
      <c r="GA125" s="200">
        <f t="shared" si="1092"/>
        <v>1</v>
      </c>
      <c r="GB125" s="201">
        <f t="shared" si="1482"/>
        <v>0</v>
      </c>
      <c r="GC125" s="203">
        <f t="shared" si="1162"/>
        <v>0</v>
      </c>
      <c r="GD125" s="199">
        <f t="shared" ca="1" si="1483"/>
        <v>0</v>
      </c>
      <c r="GE125" s="200">
        <f t="shared" si="1095"/>
        <v>0</v>
      </c>
      <c r="GF125" s="201">
        <f t="shared" ca="1" si="1484"/>
        <v>0</v>
      </c>
      <c r="GG125" s="200">
        <f t="shared" si="1097"/>
        <v>0</v>
      </c>
      <c r="GH125" s="201" cm="1">
        <f t="array" ref="GH125">IF(LEFT($AG125,3)="Res",IF(OR($DU125&gt;External_Threshold,$DK125&gt;0),1*Uplift*AWE*(External),0),0)</f>
        <v>0</v>
      </c>
      <c r="GI125" s="200">
        <f t="shared" si="1098"/>
        <v>0</v>
      </c>
      <c r="GJ125" s="201">
        <f t="shared" si="1485"/>
        <v>0</v>
      </c>
      <c r="GK125" s="203">
        <f t="shared" si="1163"/>
        <v>0</v>
      </c>
      <c r="GL125" s="199">
        <f t="shared" ca="1" si="1486"/>
        <v>0</v>
      </c>
      <c r="GM125" s="200">
        <f t="shared" si="1101"/>
        <v>0</v>
      </c>
      <c r="GN125" s="201">
        <f t="shared" ca="1" si="1487"/>
        <v>0</v>
      </c>
      <c r="GO125" s="200">
        <f t="shared" si="1103"/>
        <v>0</v>
      </c>
      <c r="GP125" s="201" cm="1">
        <f t="array" ref="GP125">IF(LEFT($AG125,3)="Res",IF(OR($DV125&gt;External_Threshold,$DL125&gt;0),1*Uplift*AWE*(External),0),0)</f>
        <v>0</v>
      </c>
      <c r="GQ125" s="200">
        <f t="shared" si="1104"/>
        <v>0</v>
      </c>
      <c r="GR125" s="201">
        <f t="shared" si="1488"/>
        <v>0</v>
      </c>
      <c r="GS125" s="203">
        <f t="shared" si="1164"/>
        <v>0</v>
      </c>
      <c r="GT125" s="199">
        <f t="shared" ca="1" si="1489"/>
        <v>0</v>
      </c>
      <c r="GU125" s="200">
        <f t="shared" si="1107"/>
        <v>0</v>
      </c>
      <c r="GV125" s="201">
        <f t="shared" ca="1" si="1490"/>
        <v>0</v>
      </c>
      <c r="GW125" s="200">
        <f t="shared" si="1109"/>
        <v>0</v>
      </c>
      <c r="GX125" s="201" cm="1">
        <f t="array" ref="GX125">IF(LEFT($AG125,3)="Res",IF(OR($DW125&gt;External_Threshold,$DM125&gt;0),1*Uplift*AWE*(External),0),0)</f>
        <v>0</v>
      </c>
      <c r="GY125" s="200">
        <f t="shared" si="1110"/>
        <v>0</v>
      </c>
      <c r="GZ125" s="201">
        <f t="shared" si="1491"/>
        <v>0</v>
      </c>
      <c r="HA125" s="203">
        <f t="shared" si="1165"/>
        <v>0</v>
      </c>
      <c r="HB125" s="54"/>
      <c r="HC125" s="54"/>
      <c r="HD125" s="54"/>
      <c r="HE125" s="54"/>
      <c r="HF125" s="54"/>
      <c r="HG125" s="201">
        <f t="shared" ca="1" si="1166"/>
        <v>529907.61003027717</v>
      </c>
      <c r="HH125" s="201">
        <f t="shared" ca="1" si="1167"/>
        <v>486505.32474186795</v>
      </c>
      <c r="HI125" s="201">
        <f t="shared" ca="1" si="1168"/>
        <v>454713.88767952798</v>
      </c>
      <c r="HJ125" s="201">
        <f t="shared" ca="1" si="1169"/>
        <v>404488.881049608</v>
      </c>
      <c r="HK125" s="201">
        <f t="shared" ca="1" si="1170"/>
        <v>275209.45516652439</v>
      </c>
      <c r="HL125" s="201">
        <f t="shared" ca="1" si="1171"/>
        <v>125440.29711978885</v>
      </c>
      <c r="HM125" s="201">
        <f t="shared" ca="1" si="1172"/>
        <v>0</v>
      </c>
      <c r="HN125" s="201">
        <f t="shared" ca="1" si="1173"/>
        <v>0</v>
      </c>
      <c r="HO125" s="201">
        <f t="shared" ca="1" si="1174"/>
        <v>0</v>
      </c>
      <c r="HP125" s="201">
        <f t="shared" ca="1" si="1175"/>
        <v>0</v>
      </c>
      <c r="HQ125" s="54"/>
    </row>
    <row r="126" spans="1:225" x14ac:dyDescent="0.3">
      <c r="A126" s="513">
        <v>108</v>
      </c>
      <c r="B126" s="514" t="s">
        <v>531</v>
      </c>
      <c r="C126" s="514" t="s">
        <v>390</v>
      </c>
      <c r="D126" s="514" t="s">
        <v>390</v>
      </c>
      <c r="E126" s="513">
        <v>1</v>
      </c>
      <c r="F126" s="515">
        <v>4.8099999999999996</v>
      </c>
      <c r="G126" s="515">
        <v>3.09</v>
      </c>
      <c r="H126" s="513">
        <v>5</v>
      </c>
      <c r="I126" s="517">
        <v>1</v>
      </c>
      <c r="J126" s="518" t="s">
        <v>295</v>
      </c>
      <c r="K126" s="513">
        <f t="shared" si="1452"/>
        <v>220</v>
      </c>
      <c r="L126" s="519">
        <v>7.5</v>
      </c>
      <c r="M126" s="519">
        <v>6.52</v>
      </c>
      <c r="N126" s="519">
        <v>6.22</v>
      </c>
      <c r="O126" s="519">
        <v>5.92</v>
      </c>
      <c r="P126" s="519">
        <v>5.46</v>
      </c>
      <c r="Q126" s="519">
        <v>4.9800000000000004</v>
      </c>
      <c r="R126" s="519">
        <v>4.1800000000000006</v>
      </c>
      <c r="S126" s="519">
        <v>0</v>
      </c>
      <c r="T126" s="519">
        <v>0</v>
      </c>
      <c r="U126" s="519">
        <v>0</v>
      </c>
      <c r="V126" s="536"/>
      <c r="W126" s="536"/>
      <c r="X126" s="536"/>
      <c r="Y126" s="536"/>
      <c r="Z126" s="536"/>
      <c r="AA126" s="536"/>
      <c r="AB126" s="536"/>
      <c r="AC126" s="536"/>
      <c r="AD126" s="536"/>
      <c r="AE126" s="536"/>
      <c r="AF126" s="54"/>
      <c r="AG126" s="204" t="str">
        <f t="shared" si="1253"/>
        <v>Com1</v>
      </c>
      <c r="AH126" s="204">
        <f t="shared" si="1112"/>
        <v>2</v>
      </c>
      <c r="AI126" s="204">
        <f t="shared" si="1453"/>
        <v>1</v>
      </c>
      <c r="AJ126" s="54"/>
      <c r="AK126" s="74">
        <f>IFERROR(IF(H126&gt;4,0,AI126*Inputs!$C$55),0)</f>
        <v>0</v>
      </c>
      <c r="AL126" s="81">
        <f>IFERROR(Inputs!$C$73,0)</f>
        <v>5</v>
      </c>
      <c r="AM126" s="211">
        <f>IFERROR(Inputs!$C$74,0)</f>
        <v>0.24299999999999999</v>
      </c>
      <c r="AN126" s="446">
        <f>IFERROR(HLOOKUP(HLOOKUP(AN$17,$V$18:$AE126,COUNTA($AK$18:$AK126),FALSE),Inputs!$B$58:$H$59,2,FALSE),0)</f>
        <v>0</v>
      </c>
      <c r="AO126" s="447">
        <f t="shared" si="1113"/>
        <v>0</v>
      </c>
      <c r="AP126" s="447">
        <f t="shared" si="1114"/>
        <v>0</v>
      </c>
      <c r="AQ126" s="446">
        <f>IFERROR(HLOOKUP(HLOOKUP(AQ$17,$V$18:$AE126,COUNTA($AK$18:$AK126),FALSE),Inputs!$B$58:$H$59,2,FALSE),0)</f>
        <v>0</v>
      </c>
      <c r="AR126" s="447">
        <f t="shared" ref="AR126" si="1582">2*$AK126*AQ126*$AL126/100*$AM126</f>
        <v>0</v>
      </c>
      <c r="AS126" s="447">
        <f t="shared" si="1116"/>
        <v>0</v>
      </c>
      <c r="AT126" s="446">
        <f>IFERROR(HLOOKUP(HLOOKUP(AT$17,$V$18:$AE126,COUNTA($AK$18:$AK126),FALSE),Inputs!$B$58:$H$59,2,FALSE),0)</f>
        <v>0</v>
      </c>
      <c r="AU126" s="447">
        <f t="shared" ref="AU126" si="1583">2*$AK126*AT126*$AL126/100*$AM126</f>
        <v>0</v>
      </c>
      <c r="AV126" s="447">
        <f t="shared" si="1118"/>
        <v>0</v>
      </c>
      <c r="AW126" s="446">
        <f>IFERROR(HLOOKUP(HLOOKUP(AW$17,$V$18:$AE126,COUNTA($AK$18:$AK126),FALSE),Inputs!$B$58:$H$59,2,FALSE),0)</f>
        <v>0</v>
      </c>
      <c r="AX126" s="447">
        <f t="shared" ref="AX126" si="1584">2*$AK126*AW126*$AL126/100*$AM126</f>
        <v>0</v>
      </c>
      <c r="AY126" s="447">
        <f t="shared" si="1120"/>
        <v>0</v>
      </c>
      <c r="AZ126" s="446">
        <f>IFERROR(HLOOKUP(HLOOKUP(AZ$17,$V$18:$AE126,COUNTA($AK$18:$AK126),FALSE),Inputs!$B$58:$H$59,2,FALSE),0)</f>
        <v>0</v>
      </c>
      <c r="BA126" s="447">
        <f t="shared" ref="BA126" si="1585">2*$AK126*AZ126*$AL126/100*$AM126</f>
        <v>0</v>
      </c>
      <c r="BB126" s="447">
        <f t="shared" si="1122"/>
        <v>0</v>
      </c>
      <c r="BC126" s="446">
        <f>IFERROR(HLOOKUP(HLOOKUP(BC$17,$V$18:$AE126,COUNTA($AK$18:$AK126),FALSE),Inputs!$B$58:$H$59,2,FALSE),0)</f>
        <v>0</v>
      </c>
      <c r="BD126" s="447">
        <f t="shared" ref="BD126" si="1586">2*$AK126*BC126*$AL126/100*$AM126</f>
        <v>0</v>
      </c>
      <c r="BE126" s="447">
        <f t="shared" si="1124"/>
        <v>0</v>
      </c>
      <c r="BF126" s="446">
        <f>IFERROR(HLOOKUP(HLOOKUP(BF$17,$V$18:$AE126,COUNTA($AK$18:$AK126),FALSE),Inputs!$B$58:$H$59,2,FALSE),0)</f>
        <v>0</v>
      </c>
      <c r="BG126" s="447">
        <f t="shared" ref="BG126" si="1587">2*$AK126*BF126*$AL126/100*$AM126</f>
        <v>0</v>
      </c>
      <c r="BH126" s="447">
        <f t="shared" si="1126"/>
        <v>0</v>
      </c>
      <c r="BI126" s="446">
        <f>IFERROR(HLOOKUP(HLOOKUP(BI$17,$V$18:$AE126,COUNTA($AK$18:$AK126),FALSE),Inputs!$B$58:$H$59,2,FALSE),0)</f>
        <v>0</v>
      </c>
      <c r="BJ126" s="447">
        <f t="shared" ref="BJ126" si="1588">2*$AK126*BI126*$AL126/100*$AM126</f>
        <v>0</v>
      </c>
      <c r="BK126" s="447">
        <f t="shared" si="1128"/>
        <v>0</v>
      </c>
      <c r="BL126" s="446">
        <f>IFERROR(HLOOKUP(HLOOKUP(BL$17,$V$18:$AE126,COUNTA($AK$18:$AK126),FALSE),Inputs!$B$58:$H$59,2,FALSE),0)</f>
        <v>0</v>
      </c>
      <c r="BM126" s="447">
        <f t="shared" ref="BM126" si="1589">2*$AK126*BL126*$AL126/100*$AM126</f>
        <v>0</v>
      </c>
      <c r="BN126" s="447">
        <f t="shared" si="1130"/>
        <v>0</v>
      </c>
      <c r="BO126" s="446">
        <f>IFERROR(HLOOKUP(HLOOKUP(BO$17,$V$18:$AE126,COUNTA($AK$18:$AK126),FALSE),Inputs!$B$58:$H$59,2,FALSE),0)</f>
        <v>0</v>
      </c>
      <c r="BP126" s="447">
        <f t="shared" ref="BP126" si="1590">2*$AK126*BO126*$AL126/100*$AM126</f>
        <v>0</v>
      </c>
      <c r="BQ126" s="447">
        <f t="shared" si="1132"/>
        <v>0</v>
      </c>
      <c r="BR126" s="54"/>
      <c r="BS126" s="103">
        <f t="shared" ca="1" si="1203"/>
        <v>5509.278105755765</v>
      </c>
      <c r="BT126" s="103">
        <f t="shared" ca="1" si="1204"/>
        <v>0</v>
      </c>
      <c r="BU126" s="103">
        <f t="shared" si="1205"/>
        <v>0</v>
      </c>
      <c r="BV126" s="103">
        <f t="shared" si="1206"/>
        <v>0</v>
      </c>
      <c r="BW126" s="152">
        <f t="shared" ca="1" si="1207"/>
        <v>5509.278105755765</v>
      </c>
      <c r="BX126" s="441"/>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188">
        <f t="shared" si="1133"/>
        <v>2.6900000000000004</v>
      </c>
      <c r="DE126" s="188">
        <f t="shared" si="1134"/>
        <v>1.71</v>
      </c>
      <c r="DF126" s="188">
        <f t="shared" si="1135"/>
        <v>1.4100000000000001</v>
      </c>
      <c r="DG126" s="188">
        <f t="shared" si="1136"/>
        <v>1.1100000000000003</v>
      </c>
      <c r="DH126" s="188">
        <f t="shared" si="1137"/>
        <v>0.65000000000000036</v>
      </c>
      <c r="DI126" s="188">
        <f t="shared" si="1138"/>
        <v>0.17000000000000082</v>
      </c>
      <c r="DJ126" s="188">
        <f t="shared" si="1139"/>
        <v>-0.3</v>
      </c>
      <c r="DK126" s="188">
        <f t="shared" si="1140"/>
        <v>-0.3</v>
      </c>
      <c r="DL126" s="188">
        <f t="shared" si="1141"/>
        <v>-0.3</v>
      </c>
      <c r="DM126" s="188">
        <f t="shared" si="1142"/>
        <v>-0.3</v>
      </c>
      <c r="DN126" s="189">
        <f t="shared" si="1143"/>
        <v>4.41</v>
      </c>
      <c r="DO126" s="189">
        <f t="shared" si="1144"/>
        <v>3.4299999999999997</v>
      </c>
      <c r="DP126" s="189">
        <f t="shared" si="1145"/>
        <v>3.13</v>
      </c>
      <c r="DQ126" s="189">
        <f t="shared" si="1146"/>
        <v>2.83</v>
      </c>
      <c r="DR126" s="189">
        <f t="shared" si="1147"/>
        <v>2.37</v>
      </c>
      <c r="DS126" s="189">
        <f t="shared" si="1148"/>
        <v>1.8900000000000006</v>
      </c>
      <c r="DT126" s="189">
        <f t="shared" si="1149"/>
        <v>1.0900000000000007</v>
      </c>
      <c r="DU126" s="189">
        <f t="shared" si="1150"/>
        <v>0</v>
      </c>
      <c r="DV126" s="189">
        <f t="shared" si="1151"/>
        <v>0</v>
      </c>
      <c r="DW126" s="189">
        <f t="shared" si="1152"/>
        <v>0</v>
      </c>
      <c r="DX126" s="54"/>
      <c r="DY126" s="54"/>
      <c r="DZ126" s="199">
        <f t="shared" ca="1" si="1463"/>
        <v>188902.24987190438</v>
      </c>
      <c r="EA126" s="200">
        <f t="shared" si="1153"/>
        <v>1</v>
      </c>
      <c r="EB126" s="201">
        <f t="shared" ca="1" si="1464"/>
        <v>0</v>
      </c>
      <c r="EC126" s="200">
        <f t="shared" si="1154"/>
        <v>1</v>
      </c>
      <c r="ED126" s="201" cm="1">
        <f t="array" ref="ED126">IF(LEFT($AG126,3)="Res",IF(OR($DN126&gt;External_Threshold,$DD126&gt;0),1*Uplift*AWE*(External),0),0)</f>
        <v>0</v>
      </c>
      <c r="EE126" s="200">
        <f t="shared" si="1155"/>
        <v>1</v>
      </c>
      <c r="EF126" s="201">
        <f t="shared" si="1465"/>
        <v>0</v>
      </c>
      <c r="EG126" s="203">
        <f t="shared" si="1156"/>
        <v>0</v>
      </c>
      <c r="EH126" s="199">
        <f t="shared" ca="1" si="1466"/>
        <v>171541.29581554228</v>
      </c>
      <c r="EI126" s="200">
        <f t="shared" si="1059"/>
        <v>1</v>
      </c>
      <c r="EJ126" s="201">
        <f t="shared" ca="1" si="1467"/>
        <v>0</v>
      </c>
      <c r="EK126" s="200">
        <f t="shared" si="1061"/>
        <v>1</v>
      </c>
      <c r="EL126" s="201" cm="1">
        <f t="array" ref="EL126">IF(LEFT($AG126,3)="Res",IF(OR($DO126&gt;External_Threshold,$DE126&gt;0),1*Uplift*AWE*(External),0),0)</f>
        <v>0</v>
      </c>
      <c r="EM126" s="200">
        <f t="shared" si="1062"/>
        <v>1</v>
      </c>
      <c r="EN126" s="201">
        <f t="shared" si="1468"/>
        <v>0</v>
      </c>
      <c r="EO126" s="203">
        <f t="shared" si="1157"/>
        <v>0</v>
      </c>
      <c r="EP126" s="199">
        <f t="shared" ca="1" si="1469"/>
        <v>160208.23723313407</v>
      </c>
      <c r="EQ126" s="200">
        <f t="shared" si="1065"/>
        <v>1</v>
      </c>
      <c r="ER126" s="201">
        <f t="shared" ca="1" si="1470"/>
        <v>0</v>
      </c>
      <c r="ES126" s="200">
        <f t="shared" si="1067"/>
        <v>1</v>
      </c>
      <c r="ET126" s="201" cm="1">
        <f t="array" ref="ET126">IF(LEFT($AG126,3)="Res",IF(OR($DP126&gt;External_Threshold,$DF126&gt;0),1*Uplift*AWE*(External),0),0)</f>
        <v>0</v>
      </c>
      <c r="EU126" s="200">
        <f t="shared" si="1068"/>
        <v>1</v>
      </c>
      <c r="EV126" s="201">
        <f t="shared" si="1471"/>
        <v>0</v>
      </c>
      <c r="EW126" s="203">
        <f t="shared" si="1158"/>
        <v>0</v>
      </c>
      <c r="EX126" s="199">
        <f t="shared" ca="1" si="1472"/>
        <v>139018.33936806151</v>
      </c>
      <c r="EY126" s="200">
        <f t="shared" si="1071"/>
        <v>1</v>
      </c>
      <c r="EZ126" s="201">
        <f t="shared" ca="1" si="1473"/>
        <v>0</v>
      </c>
      <c r="FA126" s="200">
        <f t="shared" si="1073"/>
        <v>1</v>
      </c>
      <c r="FB126" s="201" cm="1">
        <f t="array" ref="FB126">IF(LEFT($AG126,3)="Res",IF(OR($DQ126&gt;External_Threshold,$DG126&gt;0),1*Uplift*AWE*(External),0),0)</f>
        <v>0</v>
      </c>
      <c r="FC126" s="200">
        <f t="shared" si="1074"/>
        <v>1</v>
      </c>
      <c r="FD126" s="201">
        <f t="shared" si="1075"/>
        <v>0</v>
      </c>
      <c r="FE126" s="203">
        <f t="shared" si="1159"/>
        <v>0</v>
      </c>
      <c r="FF126" s="199">
        <f t="shared" ca="1" si="1474"/>
        <v>93417.002561912901</v>
      </c>
      <c r="FG126" s="200">
        <f t="shared" si="1077"/>
        <v>1</v>
      </c>
      <c r="FH126" s="201">
        <f t="shared" ca="1" si="1475"/>
        <v>0</v>
      </c>
      <c r="FI126" s="200">
        <f t="shared" si="1079"/>
        <v>1</v>
      </c>
      <c r="FJ126" s="201" cm="1">
        <f t="array" ref="FJ126">IF(LEFT($AG126,3)="Res",IF(OR($DR126&gt;External_Threshold,$DH126&gt;0),1*Uplift*AWE*(External),0),0)</f>
        <v>0</v>
      </c>
      <c r="FK126" s="200">
        <f t="shared" si="1080"/>
        <v>1</v>
      </c>
      <c r="FL126" s="201">
        <f t="shared" si="1476"/>
        <v>0</v>
      </c>
      <c r="FM126" s="203">
        <f t="shared" si="1160"/>
        <v>0</v>
      </c>
      <c r="FN126" s="199">
        <f t="shared" ca="1" si="1477"/>
        <v>33537.857216054654</v>
      </c>
      <c r="FO126" s="200">
        <f t="shared" si="1083"/>
        <v>1</v>
      </c>
      <c r="FP126" s="201">
        <f t="shared" ca="1" si="1478"/>
        <v>0</v>
      </c>
      <c r="FQ126" s="200">
        <f t="shared" si="1085"/>
        <v>1</v>
      </c>
      <c r="FR126" s="201" cm="1">
        <f t="array" ref="FR126">IF(LEFT($AG126,3)="Res",IF(OR($DS126&gt;External_Threshold,$DI126&gt;0),1*Uplift*AWE*(External),0),0)</f>
        <v>0</v>
      </c>
      <c r="FS126" s="200">
        <f t="shared" si="1086"/>
        <v>1</v>
      </c>
      <c r="FT126" s="201">
        <f t="shared" si="1479"/>
        <v>0</v>
      </c>
      <c r="FU126" s="203">
        <f t="shared" si="1161"/>
        <v>0</v>
      </c>
      <c r="FV126" s="199">
        <f t="shared" ca="1" si="1480"/>
        <v>0</v>
      </c>
      <c r="FW126" s="200">
        <f t="shared" si="1089"/>
        <v>0</v>
      </c>
      <c r="FX126" s="201">
        <f t="shared" ca="1" si="1481"/>
        <v>0</v>
      </c>
      <c r="FY126" s="200">
        <f t="shared" si="1091"/>
        <v>0</v>
      </c>
      <c r="FZ126" s="201" cm="1">
        <f t="array" ref="FZ126">IF(LEFT($AG126,3)="Res",IF(OR($DT126&gt;External_Threshold,$DJ126&gt;0),1*Uplift*AWE*(External),0),0)</f>
        <v>0</v>
      </c>
      <c r="GA126" s="200">
        <f t="shared" si="1092"/>
        <v>1</v>
      </c>
      <c r="GB126" s="201">
        <f t="shared" si="1482"/>
        <v>0</v>
      </c>
      <c r="GC126" s="203">
        <f t="shared" si="1162"/>
        <v>0</v>
      </c>
      <c r="GD126" s="199">
        <f t="shared" ca="1" si="1483"/>
        <v>0</v>
      </c>
      <c r="GE126" s="200">
        <f t="shared" si="1095"/>
        <v>0</v>
      </c>
      <c r="GF126" s="201">
        <f t="shared" ca="1" si="1484"/>
        <v>0</v>
      </c>
      <c r="GG126" s="200">
        <f t="shared" si="1097"/>
        <v>0</v>
      </c>
      <c r="GH126" s="201" cm="1">
        <f t="array" ref="GH126">IF(LEFT($AG126,3)="Res",IF(OR($DU126&gt;External_Threshold,$DK126&gt;0),1*Uplift*AWE*(External),0),0)</f>
        <v>0</v>
      </c>
      <c r="GI126" s="200">
        <f t="shared" si="1098"/>
        <v>0</v>
      </c>
      <c r="GJ126" s="201">
        <f t="shared" si="1485"/>
        <v>0</v>
      </c>
      <c r="GK126" s="203">
        <f t="shared" si="1163"/>
        <v>0</v>
      </c>
      <c r="GL126" s="199">
        <f t="shared" ca="1" si="1486"/>
        <v>0</v>
      </c>
      <c r="GM126" s="200">
        <f t="shared" si="1101"/>
        <v>0</v>
      </c>
      <c r="GN126" s="201">
        <f t="shared" ca="1" si="1487"/>
        <v>0</v>
      </c>
      <c r="GO126" s="200">
        <f t="shared" si="1103"/>
        <v>0</v>
      </c>
      <c r="GP126" s="201" cm="1">
        <f t="array" ref="GP126">IF(LEFT($AG126,3)="Res",IF(OR($DV126&gt;External_Threshold,$DL126&gt;0),1*Uplift*AWE*(External),0),0)</f>
        <v>0</v>
      </c>
      <c r="GQ126" s="200">
        <f t="shared" si="1104"/>
        <v>0</v>
      </c>
      <c r="GR126" s="201">
        <f t="shared" si="1488"/>
        <v>0</v>
      </c>
      <c r="GS126" s="203">
        <f t="shared" si="1164"/>
        <v>0</v>
      </c>
      <c r="GT126" s="199">
        <f t="shared" ca="1" si="1489"/>
        <v>0</v>
      </c>
      <c r="GU126" s="200">
        <f t="shared" si="1107"/>
        <v>0</v>
      </c>
      <c r="GV126" s="201">
        <f t="shared" ca="1" si="1490"/>
        <v>0</v>
      </c>
      <c r="GW126" s="200">
        <f t="shared" si="1109"/>
        <v>0</v>
      </c>
      <c r="GX126" s="201" cm="1">
        <f t="array" ref="GX126">IF(LEFT($AG126,3)="Res",IF(OR($DW126&gt;External_Threshold,$DM126&gt;0),1*Uplift*AWE*(External),0),0)</f>
        <v>0</v>
      </c>
      <c r="GY126" s="200">
        <f t="shared" si="1110"/>
        <v>0</v>
      </c>
      <c r="GZ126" s="201">
        <f t="shared" si="1491"/>
        <v>0</v>
      </c>
      <c r="HA126" s="203">
        <f t="shared" si="1165"/>
        <v>0</v>
      </c>
      <c r="HB126" s="54"/>
      <c r="HC126" s="54"/>
      <c r="HD126" s="54"/>
      <c r="HE126" s="54"/>
      <c r="HF126" s="54"/>
      <c r="HG126" s="201">
        <f t="shared" ca="1" si="1166"/>
        <v>188902.24987190438</v>
      </c>
      <c r="HH126" s="201">
        <f t="shared" ca="1" si="1167"/>
        <v>171541.29581554228</v>
      </c>
      <c r="HI126" s="201">
        <f t="shared" ca="1" si="1168"/>
        <v>160208.23723313407</v>
      </c>
      <c r="HJ126" s="201">
        <f t="shared" ca="1" si="1169"/>
        <v>139018.33936806151</v>
      </c>
      <c r="HK126" s="201">
        <f t="shared" ca="1" si="1170"/>
        <v>93417.002561912901</v>
      </c>
      <c r="HL126" s="201">
        <f t="shared" ca="1" si="1171"/>
        <v>33537.857216054654</v>
      </c>
      <c r="HM126" s="201">
        <f t="shared" ca="1" si="1172"/>
        <v>0</v>
      </c>
      <c r="HN126" s="201">
        <f t="shared" ca="1" si="1173"/>
        <v>0</v>
      </c>
      <c r="HO126" s="201">
        <f t="shared" ca="1" si="1174"/>
        <v>0</v>
      </c>
      <c r="HP126" s="201">
        <f t="shared" ca="1" si="1175"/>
        <v>0</v>
      </c>
      <c r="HQ126" s="54"/>
    </row>
    <row r="127" spans="1:225" x14ac:dyDescent="0.3">
      <c r="A127" s="513">
        <v>109</v>
      </c>
      <c r="B127" s="514" t="s">
        <v>532</v>
      </c>
      <c r="C127" s="514" t="s">
        <v>390</v>
      </c>
      <c r="D127" s="514" t="s">
        <v>390</v>
      </c>
      <c r="E127" s="513">
        <v>1</v>
      </c>
      <c r="F127" s="515">
        <v>6.07</v>
      </c>
      <c r="G127" s="515">
        <v>5.64</v>
      </c>
      <c r="H127" s="513">
        <v>6</v>
      </c>
      <c r="I127" s="517">
        <v>1</v>
      </c>
      <c r="J127" s="518" t="s">
        <v>295</v>
      </c>
      <c r="K127" s="513">
        <f t="shared" si="1452"/>
        <v>220</v>
      </c>
      <c r="L127" s="519">
        <v>7.5</v>
      </c>
      <c r="M127" s="519">
        <v>6.52</v>
      </c>
      <c r="N127" s="519">
        <v>6.22</v>
      </c>
      <c r="O127" s="519">
        <v>5.92</v>
      </c>
      <c r="P127" s="519">
        <v>5.46</v>
      </c>
      <c r="Q127" s="519">
        <v>4.9800000000000004</v>
      </c>
      <c r="R127" s="519">
        <v>4.1800000000000006</v>
      </c>
      <c r="S127" s="519">
        <v>0</v>
      </c>
      <c r="T127" s="519">
        <v>0</v>
      </c>
      <c r="U127" s="519">
        <v>0</v>
      </c>
      <c r="V127" s="536"/>
      <c r="W127" s="536"/>
      <c r="X127" s="536"/>
      <c r="Y127" s="536"/>
      <c r="Z127" s="536"/>
      <c r="AA127" s="536"/>
      <c r="AB127" s="536"/>
      <c r="AC127" s="536"/>
      <c r="AD127" s="536"/>
      <c r="AE127" s="536"/>
      <c r="AF127" s="54"/>
      <c r="AG127" s="204" t="str">
        <f t="shared" si="1253"/>
        <v>Com1</v>
      </c>
      <c r="AH127" s="204">
        <f t="shared" si="1112"/>
        <v>3</v>
      </c>
      <c r="AI127" s="204">
        <f t="shared" si="1453"/>
        <v>1</v>
      </c>
      <c r="AJ127" s="54"/>
      <c r="AK127" s="74">
        <f>IFERROR(IF(H127&gt;4,0,AI127*Inputs!$C$55),0)</f>
        <v>0</v>
      </c>
      <c r="AL127" s="81">
        <f>IFERROR(Inputs!$C$73,0)</f>
        <v>5</v>
      </c>
      <c r="AM127" s="211">
        <f>IFERROR(Inputs!$C$74,0)</f>
        <v>0.24299999999999999</v>
      </c>
      <c r="AN127" s="446">
        <f>IFERROR(HLOOKUP(HLOOKUP(AN$17,$V$18:$AE127,COUNTA($AK$18:$AK127),FALSE),Inputs!$B$58:$H$59,2,FALSE),0)</f>
        <v>0</v>
      </c>
      <c r="AO127" s="447">
        <f t="shared" si="1113"/>
        <v>0</v>
      </c>
      <c r="AP127" s="447">
        <f t="shared" si="1114"/>
        <v>0</v>
      </c>
      <c r="AQ127" s="446">
        <f>IFERROR(HLOOKUP(HLOOKUP(AQ$17,$V$18:$AE127,COUNTA($AK$18:$AK127),FALSE),Inputs!$B$58:$H$59,2,FALSE),0)</f>
        <v>0</v>
      </c>
      <c r="AR127" s="447">
        <f t="shared" ref="AR127" si="1591">2*$AK127*AQ127*$AL127/100*$AM127</f>
        <v>0</v>
      </c>
      <c r="AS127" s="447">
        <f t="shared" si="1116"/>
        <v>0</v>
      </c>
      <c r="AT127" s="446">
        <f>IFERROR(HLOOKUP(HLOOKUP(AT$17,$V$18:$AE127,COUNTA($AK$18:$AK127),FALSE),Inputs!$B$58:$H$59,2,FALSE),0)</f>
        <v>0</v>
      </c>
      <c r="AU127" s="447">
        <f t="shared" ref="AU127" si="1592">2*$AK127*AT127*$AL127/100*$AM127</f>
        <v>0</v>
      </c>
      <c r="AV127" s="447">
        <f t="shared" si="1118"/>
        <v>0</v>
      </c>
      <c r="AW127" s="446">
        <f>IFERROR(HLOOKUP(HLOOKUP(AW$17,$V$18:$AE127,COUNTA($AK$18:$AK127),FALSE),Inputs!$B$58:$H$59,2,FALSE),0)</f>
        <v>0</v>
      </c>
      <c r="AX127" s="447">
        <f t="shared" ref="AX127" si="1593">2*$AK127*AW127*$AL127/100*$AM127</f>
        <v>0</v>
      </c>
      <c r="AY127" s="447">
        <f t="shared" si="1120"/>
        <v>0</v>
      </c>
      <c r="AZ127" s="446">
        <f>IFERROR(HLOOKUP(HLOOKUP(AZ$17,$V$18:$AE127,COUNTA($AK$18:$AK127),FALSE),Inputs!$B$58:$H$59,2,FALSE),0)</f>
        <v>0</v>
      </c>
      <c r="BA127" s="447">
        <f t="shared" ref="BA127" si="1594">2*$AK127*AZ127*$AL127/100*$AM127</f>
        <v>0</v>
      </c>
      <c r="BB127" s="447">
        <f t="shared" si="1122"/>
        <v>0</v>
      </c>
      <c r="BC127" s="446">
        <f>IFERROR(HLOOKUP(HLOOKUP(BC$17,$V$18:$AE127,COUNTA($AK$18:$AK127),FALSE),Inputs!$B$58:$H$59,2,FALSE),0)</f>
        <v>0</v>
      </c>
      <c r="BD127" s="447">
        <f t="shared" ref="BD127" si="1595">2*$AK127*BC127*$AL127/100*$AM127</f>
        <v>0</v>
      </c>
      <c r="BE127" s="447">
        <f t="shared" si="1124"/>
        <v>0</v>
      </c>
      <c r="BF127" s="446">
        <f>IFERROR(HLOOKUP(HLOOKUP(BF$17,$V$18:$AE127,COUNTA($AK$18:$AK127),FALSE),Inputs!$B$58:$H$59,2,FALSE),0)</f>
        <v>0</v>
      </c>
      <c r="BG127" s="447">
        <f t="shared" ref="BG127" si="1596">2*$AK127*BF127*$AL127/100*$AM127</f>
        <v>0</v>
      </c>
      <c r="BH127" s="447">
        <f t="shared" si="1126"/>
        <v>0</v>
      </c>
      <c r="BI127" s="446">
        <f>IFERROR(HLOOKUP(HLOOKUP(BI$17,$V$18:$AE127,COUNTA($AK$18:$AK127),FALSE),Inputs!$B$58:$H$59,2,FALSE),0)</f>
        <v>0</v>
      </c>
      <c r="BJ127" s="447">
        <f t="shared" ref="BJ127" si="1597">2*$AK127*BI127*$AL127/100*$AM127</f>
        <v>0</v>
      </c>
      <c r="BK127" s="447">
        <f t="shared" si="1128"/>
        <v>0</v>
      </c>
      <c r="BL127" s="446">
        <f>IFERROR(HLOOKUP(HLOOKUP(BL$17,$V$18:$AE127,COUNTA($AK$18:$AK127),FALSE),Inputs!$B$58:$H$59,2,FALSE),0)</f>
        <v>0</v>
      </c>
      <c r="BM127" s="447">
        <f t="shared" ref="BM127" si="1598">2*$AK127*BL127*$AL127/100*$AM127</f>
        <v>0</v>
      </c>
      <c r="BN127" s="447">
        <f t="shared" si="1130"/>
        <v>0</v>
      </c>
      <c r="BO127" s="446">
        <f>IFERROR(HLOOKUP(HLOOKUP(BO$17,$V$18:$AE127,COUNTA($AK$18:$AK127),FALSE),Inputs!$B$58:$H$59,2,FALSE),0)</f>
        <v>0</v>
      </c>
      <c r="BP127" s="447">
        <f t="shared" ref="BP127" si="1599">2*$AK127*BO127*$AL127/100*$AM127</f>
        <v>0</v>
      </c>
      <c r="BQ127" s="447">
        <f t="shared" si="1132"/>
        <v>0</v>
      </c>
      <c r="BR127" s="54"/>
      <c r="BS127" s="103">
        <f t="shared" ca="1" si="1203"/>
        <v>619.33696622203252</v>
      </c>
      <c r="BT127" s="103">
        <f t="shared" ca="1" si="1204"/>
        <v>0</v>
      </c>
      <c r="BU127" s="103">
        <f t="shared" si="1205"/>
        <v>0</v>
      </c>
      <c r="BV127" s="103">
        <f t="shared" si="1206"/>
        <v>0</v>
      </c>
      <c r="BW127" s="152">
        <f t="shared" ca="1" si="1207"/>
        <v>619.33696622203252</v>
      </c>
      <c r="BX127" s="441"/>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188">
        <f t="shared" si="1133"/>
        <v>1.4299999999999997</v>
      </c>
      <c r="DE127" s="188">
        <f t="shared" si="1134"/>
        <v>0.44999999999999929</v>
      </c>
      <c r="DF127" s="188">
        <f t="shared" si="1135"/>
        <v>0.14999999999999947</v>
      </c>
      <c r="DG127" s="188">
        <f t="shared" si="1136"/>
        <v>-0.15000000000000036</v>
      </c>
      <c r="DH127" s="188">
        <f t="shared" si="1137"/>
        <v>-0.3</v>
      </c>
      <c r="DI127" s="188">
        <f t="shared" si="1138"/>
        <v>-0.3</v>
      </c>
      <c r="DJ127" s="188">
        <f t="shared" si="1139"/>
        <v>-0.3</v>
      </c>
      <c r="DK127" s="188">
        <f t="shared" si="1140"/>
        <v>-0.3</v>
      </c>
      <c r="DL127" s="188">
        <f t="shared" si="1141"/>
        <v>-0.3</v>
      </c>
      <c r="DM127" s="188">
        <f t="shared" si="1142"/>
        <v>-0.3</v>
      </c>
      <c r="DN127" s="189">
        <f t="shared" si="1143"/>
        <v>1.8600000000000003</v>
      </c>
      <c r="DO127" s="189">
        <f t="shared" si="1144"/>
        <v>0.87999999999999989</v>
      </c>
      <c r="DP127" s="189">
        <f t="shared" si="1145"/>
        <v>0.58000000000000007</v>
      </c>
      <c r="DQ127" s="189">
        <f t="shared" si="1146"/>
        <v>0.28000000000000025</v>
      </c>
      <c r="DR127" s="189">
        <f t="shared" si="1147"/>
        <v>0</v>
      </c>
      <c r="DS127" s="189">
        <f t="shared" si="1148"/>
        <v>0</v>
      </c>
      <c r="DT127" s="189">
        <f t="shared" si="1149"/>
        <v>0</v>
      </c>
      <c r="DU127" s="189">
        <f t="shared" si="1150"/>
        <v>0</v>
      </c>
      <c r="DV127" s="189">
        <f t="shared" si="1151"/>
        <v>0</v>
      </c>
      <c r="DW127" s="189">
        <f t="shared" si="1152"/>
        <v>0</v>
      </c>
      <c r="DX127" s="54"/>
      <c r="DY127" s="54"/>
      <c r="DZ127" s="199">
        <f t="shared" ca="1" si="1463"/>
        <v>208410.53185311699</v>
      </c>
      <c r="EA127" s="200">
        <f t="shared" si="1153"/>
        <v>1</v>
      </c>
      <c r="EB127" s="201">
        <f t="shared" ca="1" si="1464"/>
        <v>0</v>
      </c>
      <c r="EC127" s="200">
        <f t="shared" si="1154"/>
        <v>1</v>
      </c>
      <c r="ED127" s="201" cm="1">
        <f t="array" ref="ED127">IF(LEFT($AG127,3)="Res",IF(OR($DN127&gt;External_Threshold,$DD127&gt;0),1*Uplift*AWE*(External),0),0)</f>
        <v>0</v>
      </c>
      <c r="EE127" s="200">
        <f t="shared" si="1155"/>
        <v>1</v>
      </c>
      <c r="EF127" s="201">
        <f t="shared" si="1465"/>
        <v>0</v>
      </c>
      <c r="EG127" s="203">
        <f t="shared" si="1156"/>
        <v>0</v>
      </c>
      <c r="EH127" s="199">
        <f t="shared" ca="1" si="1466"/>
        <v>95987.205807002581</v>
      </c>
      <c r="EI127" s="200">
        <f t="shared" si="1059"/>
        <v>1</v>
      </c>
      <c r="EJ127" s="201">
        <f t="shared" ca="1" si="1467"/>
        <v>0</v>
      </c>
      <c r="EK127" s="200">
        <f t="shared" si="1061"/>
        <v>1</v>
      </c>
      <c r="EL127" s="201" cm="1">
        <f t="array" ref="EL127">IF(LEFT($AG127,3)="Res",IF(OR($DO127&gt;External_Threshold,$DE127&gt;0),1*Uplift*AWE*(External),0),0)</f>
        <v>0</v>
      </c>
      <c r="EM127" s="200">
        <f t="shared" si="1062"/>
        <v>1</v>
      </c>
      <c r="EN127" s="201">
        <f t="shared" si="1468"/>
        <v>0</v>
      </c>
      <c r="EO127" s="203">
        <f t="shared" si="1157"/>
        <v>0</v>
      </c>
      <c r="EP127" s="199">
        <f t="shared" ca="1" si="1469"/>
        <v>43120.102134927416</v>
      </c>
      <c r="EQ127" s="200">
        <f t="shared" si="1065"/>
        <v>1</v>
      </c>
      <c r="ER127" s="201">
        <f t="shared" ca="1" si="1470"/>
        <v>0</v>
      </c>
      <c r="ES127" s="200">
        <f t="shared" si="1067"/>
        <v>1</v>
      </c>
      <c r="ET127" s="201" cm="1">
        <f t="array" ref="ET127">IF(LEFT($AG127,3)="Res",IF(OR($DP127&gt;External_Threshold,$DF127&gt;0),1*Uplift*AWE*(External),0),0)</f>
        <v>0</v>
      </c>
      <c r="EU127" s="200">
        <f t="shared" si="1068"/>
        <v>1</v>
      </c>
      <c r="EV127" s="201">
        <f t="shared" si="1471"/>
        <v>0</v>
      </c>
      <c r="EW127" s="203">
        <f t="shared" si="1158"/>
        <v>0</v>
      </c>
      <c r="EX127" s="199">
        <f t="shared" ca="1" si="1472"/>
        <v>0</v>
      </c>
      <c r="EY127" s="200">
        <f t="shared" si="1071"/>
        <v>0</v>
      </c>
      <c r="EZ127" s="201">
        <f t="shared" ca="1" si="1473"/>
        <v>0</v>
      </c>
      <c r="FA127" s="200">
        <f t="shared" si="1073"/>
        <v>0</v>
      </c>
      <c r="FB127" s="201" cm="1">
        <f t="array" ref="FB127">IF(LEFT($AG127,3)="Res",IF(OR($DQ127&gt;External_Threshold,$DG127&gt;0),1*Uplift*AWE*(External),0),0)</f>
        <v>0</v>
      </c>
      <c r="FC127" s="200">
        <f t="shared" si="1074"/>
        <v>1</v>
      </c>
      <c r="FD127" s="201">
        <f t="shared" si="1075"/>
        <v>0</v>
      </c>
      <c r="FE127" s="203">
        <f t="shared" si="1159"/>
        <v>0</v>
      </c>
      <c r="FF127" s="199">
        <f t="shared" ca="1" si="1474"/>
        <v>0</v>
      </c>
      <c r="FG127" s="200">
        <f t="shared" si="1077"/>
        <v>0</v>
      </c>
      <c r="FH127" s="201">
        <f t="shared" ca="1" si="1475"/>
        <v>0</v>
      </c>
      <c r="FI127" s="200">
        <f t="shared" si="1079"/>
        <v>0</v>
      </c>
      <c r="FJ127" s="201" cm="1">
        <f t="array" ref="FJ127">IF(LEFT($AG127,3)="Res",IF(OR($DR127&gt;External_Threshold,$DH127&gt;0),1*Uplift*AWE*(External),0),0)</f>
        <v>0</v>
      </c>
      <c r="FK127" s="200">
        <f t="shared" si="1080"/>
        <v>0</v>
      </c>
      <c r="FL127" s="201">
        <f t="shared" si="1476"/>
        <v>0</v>
      </c>
      <c r="FM127" s="203">
        <f t="shared" si="1160"/>
        <v>0</v>
      </c>
      <c r="FN127" s="199">
        <f t="shared" ca="1" si="1477"/>
        <v>0</v>
      </c>
      <c r="FO127" s="200">
        <f t="shared" si="1083"/>
        <v>0</v>
      </c>
      <c r="FP127" s="201">
        <f t="shared" ca="1" si="1478"/>
        <v>0</v>
      </c>
      <c r="FQ127" s="200">
        <f t="shared" si="1085"/>
        <v>0</v>
      </c>
      <c r="FR127" s="201" cm="1">
        <f t="array" ref="FR127">IF(LEFT($AG127,3)="Res",IF(OR($DS127&gt;External_Threshold,$DI127&gt;0),1*Uplift*AWE*(External),0),0)</f>
        <v>0</v>
      </c>
      <c r="FS127" s="200">
        <f t="shared" si="1086"/>
        <v>0</v>
      </c>
      <c r="FT127" s="201">
        <f t="shared" si="1479"/>
        <v>0</v>
      </c>
      <c r="FU127" s="203">
        <f t="shared" si="1161"/>
        <v>0</v>
      </c>
      <c r="FV127" s="199">
        <f t="shared" ca="1" si="1480"/>
        <v>0</v>
      </c>
      <c r="FW127" s="200">
        <f t="shared" si="1089"/>
        <v>0</v>
      </c>
      <c r="FX127" s="201">
        <f t="shared" ca="1" si="1481"/>
        <v>0</v>
      </c>
      <c r="FY127" s="200">
        <f t="shared" si="1091"/>
        <v>0</v>
      </c>
      <c r="FZ127" s="201" cm="1">
        <f t="array" ref="FZ127">IF(LEFT($AG127,3)="Res",IF(OR($DT127&gt;External_Threshold,$DJ127&gt;0),1*Uplift*AWE*(External),0),0)</f>
        <v>0</v>
      </c>
      <c r="GA127" s="200">
        <f t="shared" si="1092"/>
        <v>0</v>
      </c>
      <c r="GB127" s="201">
        <f t="shared" si="1482"/>
        <v>0</v>
      </c>
      <c r="GC127" s="203">
        <f t="shared" si="1162"/>
        <v>0</v>
      </c>
      <c r="GD127" s="199">
        <f t="shared" ca="1" si="1483"/>
        <v>0</v>
      </c>
      <c r="GE127" s="200">
        <f t="shared" si="1095"/>
        <v>0</v>
      </c>
      <c r="GF127" s="201">
        <f t="shared" ca="1" si="1484"/>
        <v>0</v>
      </c>
      <c r="GG127" s="200">
        <f t="shared" si="1097"/>
        <v>0</v>
      </c>
      <c r="GH127" s="201" cm="1">
        <f t="array" ref="GH127">IF(LEFT($AG127,3)="Res",IF(OR($DU127&gt;External_Threshold,$DK127&gt;0),1*Uplift*AWE*(External),0),0)</f>
        <v>0</v>
      </c>
      <c r="GI127" s="200">
        <f t="shared" si="1098"/>
        <v>0</v>
      </c>
      <c r="GJ127" s="201">
        <f t="shared" si="1485"/>
        <v>0</v>
      </c>
      <c r="GK127" s="203">
        <f t="shared" si="1163"/>
        <v>0</v>
      </c>
      <c r="GL127" s="199">
        <f t="shared" ca="1" si="1486"/>
        <v>0</v>
      </c>
      <c r="GM127" s="200">
        <f t="shared" si="1101"/>
        <v>0</v>
      </c>
      <c r="GN127" s="201">
        <f t="shared" ca="1" si="1487"/>
        <v>0</v>
      </c>
      <c r="GO127" s="200">
        <f t="shared" si="1103"/>
        <v>0</v>
      </c>
      <c r="GP127" s="201" cm="1">
        <f t="array" ref="GP127">IF(LEFT($AG127,3)="Res",IF(OR($DV127&gt;External_Threshold,$DL127&gt;0),1*Uplift*AWE*(External),0),0)</f>
        <v>0</v>
      </c>
      <c r="GQ127" s="200">
        <f t="shared" si="1104"/>
        <v>0</v>
      </c>
      <c r="GR127" s="201">
        <f t="shared" si="1488"/>
        <v>0</v>
      </c>
      <c r="GS127" s="203">
        <f t="shared" si="1164"/>
        <v>0</v>
      </c>
      <c r="GT127" s="199">
        <f t="shared" ca="1" si="1489"/>
        <v>0</v>
      </c>
      <c r="GU127" s="200">
        <f t="shared" si="1107"/>
        <v>0</v>
      </c>
      <c r="GV127" s="201">
        <f t="shared" ca="1" si="1490"/>
        <v>0</v>
      </c>
      <c r="GW127" s="200">
        <f t="shared" si="1109"/>
        <v>0</v>
      </c>
      <c r="GX127" s="201" cm="1">
        <f t="array" ref="GX127">IF(LEFT($AG127,3)="Res",IF(OR($DW127&gt;External_Threshold,$DM127&gt;0),1*Uplift*AWE*(External),0),0)</f>
        <v>0</v>
      </c>
      <c r="GY127" s="200">
        <f t="shared" si="1110"/>
        <v>0</v>
      </c>
      <c r="GZ127" s="201">
        <f t="shared" si="1491"/>
        <v>0</v>
      </c>
      <c r="HA127" s="203">
        <f t="shared" si="1165"/>
        <v>0</v>
      </c>
      <c r="HB127" s="54"/>
      <c r="HC127" s="54"/>
      <c r="HD127" s="54"/>
      <c r="HE127" s="54"/>
      <c r="HF127" s="54"/>
      <c r="HG127" s="201">
        <f t="shared" ca="1" si="1166"/>
        <v>208410.53185311699</v>
      </c>
      <c r="HH127" s="201">
        <f t="shared" ca="1" si="1167"/>
        <v>95987.205807002581</v>
      </c>
      <c r="HI127" s="201">
        <f t="shared" ca="1" si="1168"/>
        <v>43120.102134927416</v>
      </c>
      <c r="HJ127" s="201">
        <f t="shared" ca="1" si="1169"/>
        <v>0</v>
      </c>
      <c r="HK127" s="201">
        <f t="shared" ca="1" si="1170"/>
        <v>0</v>
      </c>
      <c r="HL127" s="201">
        <f t="shared" ca="1" si="1171"/>
        <v>0</v>
      </c>
      <c r="HM127" s="201">
        <f t="shared" ca="1" si="1172"/>
        <v>0</v>
      </c>
      <c r="HN127" s="201">
        <f t="shared" ca="1" si="1173"/>
        <v>0</v>
      </c>
      <c r="HO127" s="201">
        <f t="shared" ca="1" si="1174"/>
        <v>0</v>
      </c>
      <c r="HP127" s="201">
        <f t="shared" ca="1" si="1175"/>
        <v>0</v>
      </c>
      <c r="HQ127" s="54"/>
    </row>
    <row r="128" spans="1:225" x14ac:dyDescent="0.3">
      <c r="A128" s="513">
        <v>110</v>
      </c>
      <c r="B128" s="514" t="s">
        <v>533</v>
      </c>
      <c r="C128" s="514" t="s">
        <v>390</v>
      </c>
      <c r="D128" s="514" t="s">
        <v>390</v>
      </c>
      <c r="E128" s="513">
        <v>0</v>
      </c>
      <c r="F128" s="515">
        <v>6.78</v>
      </c>
      <c r="G128" s="515">
        <v>5.64</v>
      </c>
      <c r="H128" s="513">
        <v>7</v>
      </c>
      <c r="I128" s="517">
        <v>1</v>
      </c>
      <c r="J128" s="518" t="s">
        <v>42</v>
      </c>
      <c r="K128" s="513">
        <f t="shared" si="1452"/>
        <v>90</v>
      </c>
      <c r="L128" s="519">
        <v>7.4333333333333353</v>
      </c>
      <c r="M128" s="519">
        <v>6.6499999999999995</v>
      </c>
      <c r="N128" s="519">
        <v>6.35</v>
      </c>
      <c r="O128" s="519">
        <v>6.05</v>
      </c>
      <c r="P128" s="519">
        <v>5.55</v>
      </c>
      <c r="Q128" s="519">
        <v>5.03</v>
      </c>
      <c r="R128" s="519">
        <v>4.2300000000000004</v>
      </c>
      <c r="S128" s="519">
        <v>0</v>
      </c>
      <c r="T128" s="519">
        <v>0</v>
      </c>
      <c r="U128" s="519">
        <v>0</v>
      </c>
      <c r="V128" s="536"/>
      <c r="W128" s="536"/>
      <c r="X128" s="536"/>
      <c r="Y128" s="536"/>
      <c r="Z128" s="536"/>
      <c r="AA128" s="536"/>
      <c r="AB128" s="536"/>
      <c r="AC128" s="536"/>
      <c r="AD128" s="536"/>
      <c r="AE128" s="536"/>
      <c r="AF128" s="54"/>
      <c r="AG128" s="204" t="str">
        <f t="shared" si="1253"/>
        <v>Com1</v>
      </c>
      <c r="AH128" s="204">
        <f t="shared" si="1112"/>
        <v>4</v>
      </c>
      <c r="AI128" s="204">
        <f t="shared" si="1453"/>
        <v>1</v>
      </c>
      <c r="AJ128" s="54"/>
      <c r="AK128" s="74">
        <f>IFERROR(IF(H128&gt;4,0,AI128*Inputs!$C$55),0)</f>
        <v>0</v>
      </c>
      <c r="AL128" s="81">
        <f>IFERROR(Inputs!$C$73,0)</f>
        <v>5</v>
      </c>
      <c r="AM128" s="211">
        <f>IFERROR(Inputs!$C$74,0)</f>
        <v>0.24299999999999999</v>
      </c>
      <c r="AN128" s="446">
        <f>IFERROR(HLOOKUP(HLOOKUP(AN$17,$V$18:$AE128,COUNTA($AK$18:$AK128),FALSE),Inputs!$B$58:$H$59,2,FALSE),0)</f>
        <v>0</v>
      </c>
      <c r="AO128" s="447">
        <f t="shared" si="1113"/>
        <v>0</v>
      </c>
      <c r="AP128" s="447">
        <f t="shared" si="1114"/>
        <v>0</v>
      </c>
      <c r="AQ128" s="446">
        <f>IFERROR(HLOOKUP(HLOOKUP(AQ$17,$V$18:$AE128,COUNTA($AK$18:$AK128),FALSE),Inputs!$B$58:$H$59,2,FALSE),0)</f>
        <v>0</v>
      </c>
      <c r="AR128" s="447">
        <f t="shared" ref="AR128" si="1600">2*$AK128*AQ128*$AL128/100*$AM128</f>
        <v>0</v>
      </c>
      <c r="AS128" s="447">
        <f t="shared" si="1116"/>
        <v>0</v>
      </c>
      <c r="AT128" s="446">
        <f>IFERROR(HLOOKUP(HLOOKUP(AT$17,$V$18:$AE128,COUNTA($AK$18:$AK128),FALSE),Inputs!$B$58:$H$59,2,FALSE),0)</f>
        <v>0</v>
      </c>
      <c r="AU128" s="447">
        <f t="shared" ref="AU128" si="1601">2*$AK128*AT128*$AL128/100*$AM128</f>
        <v>0</v>
      </c>
      <c r="AV128" s="447">
        <f t="shared" si="1118"/>
        <v>0</v>
      </c>
      <c r="AW128" s="446">
        <f>IFERROR(HLOOKUP(HLOOKUP(AW$17,$V$18:$AE128,COUNTA($AK$18:$AK128),FALSE),Inputs!$B$58:$H$59,2,FALSE),0)</f>
        <v>0</v>
      </c>
      <c r="AX128" s="447">
        <f t="shared" ref="AX128" si="1602">2*$AK128*AW128*$AL128/100*$AM128</f>
        <v>0</v>
      </c>
      <c r="AY128" s="447">
        <f t="shared" si="1120"/>
        <v>0</v>
      </c>
      <c r="AZ128" s="446">
        <f>IFERROR(HLOOKUP(HLOOKUP(AZ$17,$V$18:$AE128,COUNTA($AK$18:$AK128),FALSE),Inputs!$B$58:$H$59,2,FALSE),0)</f>
        <v>0</v>
      </c>
      <c r="BA128" s="447">
        <f t="shared" ref="BA128" si="1603">2*$AK128*AZ128*$AL128/100*$AM128</f>
        <v>0</v>
      </c>
      <c r="BB128" s="447">
        <f t="shared" si="1122"/>
        <v>0</v>
      </c>
      <c r="BC128" s="446">
        <f>IFERROR(HLOOKUP(HLOOKUP(BC$17,$V$18:$AE128,COUNTA($AK$18:$AK128),FALSE),Inputs!$B$58:$H$59,2,FALSE),0)</f>
        <v>0</v>
      </c>
      <c r="BD128" s="447">
        <f t="shared" ref="BD128" si="1604">2*$AK128*BC128*$AL128/100*$AM128</f>
        <v>0</v>
      </c>
      <c r="BE128" s="447">
        <f t="shared" si="1124"/>
        <v>0</v>
      </c>
      <c r="BF128" s="446">
        <f>IFERROR(HLOOKUP(HLOOKUP(BF$17,$V$18:$AE128,COUNTA($AK$18:$AK128),FALSE),Inputs!$B$58:$H$59,2,FALSE),0)</f>
        <v>0</v>
      </c>
      <c r="BG128" s="447">
        <f t="shared" ref="BG128" si="1605">2*$AK128*BF128*$AL128/100*$AM128</f>
        <v>0</v>
      </c>
      <c r="BH128" s="447">
        <f t="shared" si="1126"/>
        <v>0</v>
      </c>
      <c r="BI128" s="446">
        <f>IFERROR(HLOOKUP(HLOOKUP(BI$17,$V$18:$AE128,COUNTA($AK$18:$AK128),FALSE),Inputs!$B$58:$H$59,2,FALSE),0)</f>
        <v>0</v>
      </c>
      <c r="BJ128" s="447">
        <f t="shared" ref="BJ128" si="1606">2*$AK128*BI128*$AL128/100*$AM128</f>
        <v>0</v>
      </c>
      <c r="BK128" s="447">
        <f t="shared" si="1128"/>
        <v>0</v>
      </c>
      <c r="BL128" s="446">
        <f>IFERROR(HLOOKUP(HLOOKUP(BL$17,$V$18:$AE128,COUNTA($AK$18:$AK128),FALSE),Inputs!$B$58:$H$59,2,FALSE),0)</f>
        <v>0</v>
      </c>
      <c r="BM128" s="447">
        <f t="shared" ref="BM128" si="1607">2*$AK128*BL128*$AL128/100*$AM128</f>
        <v>0</v>
      </c>
      <c r="BN128" s="447">
        <f t="shared" si="1130"/>
        <v>0</v>
      </c>
      <c r="BO128" s="446">
        <f>IFERROR(HLOOKUP(HLOOKUP(BO$17,$V$18:$AE128,COUNTA($AK$18:$AK128),FALSE),Inputs!$B$58:$H$59,2,FALSE),0)</f>
        <v>0</v>
      </c>
      <c r="BP128" s="447">
        <f t="shared" ref="BP128" si="1608">2*$AK128*BO128*$AL128/100*$AM128</f>
        <v>0</v>
      </c>
      <c r="BQ128" s="447">
        <f t="shared" si="1132"/>
        <v>0</v>
      </c>
      <c r="BR128" s="54"/>
      <c r="BS128" s="103">
        <f t="shared" ca="1" si="1203"/>
        <v>70.61779450159149</v>
      </c>
      <c r="BT128" s="103">
        <f t="shared" ca="1" si="1204"/>
        <v>0</v>
      </c>
      <c r="BU128" s="103">
        <f t="shared" si="1205"/>
        <v>0</v>
      </c>
      <c r="BV128" s="103">
        <f t="shared" si="1206"/>
        <v>0</v>
      </c>
      <c r="BW128" s="152">
        <f t="shared" ca="1" si="1207"/>
        <v>70.61779450159149</v>
      </c>
      <c r="BX128" s="441"/>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188">
        <f t="shared" si="1133"/>
        <v>0.6533333333333351</v>
      </c>
      <c r="DE128" s="188">
        <f t="shared" si="1134"/>
        <v>-0.13000000000000078</v>
      </c>
      <c r="DF128" s="188">
        <f t="shared" si="1135"/>
        <v>-0.3</v>
      </c>
      <c r="DG128" s="188">
        <f t="shared" si="1136"/>
        <v>-0.3</v>
      </c>
      <c r="DH128" s="188">
        <f t="shared" si="1137"/>
        <v>-0.3</v>
      </c>
      <c r="DI128" s="188">
        <f t="shared" si="1138"/>
        <v>-0.3</v>
      </c>
      <c r="DJ128" s="188">
        <f t="shared" si="1139"/>
        <v>-0.3</v>
      </c>
      <c r="DK128" s="188">
        <f t="shared" si="1140"/>
        <v>-0.3</v>
      </c>
      <c r="DL128" s="188">
        <f t="shared" si="1141"/>
        <v>-0.3</v>
      </c>
      <c r="DM128" s="188">
        <f t="shared" si="1142"/>
        <v>-0.3</v>
      </c>
      <c r="DN128" s="189">
        <f t="shared" si="1143"/>
        <v>1.7933333333333357</v>
      </c>
      <c r="DO128" s="189">
        <f t="shared" si="1144"/>
        <v>1.0099999999999998</v>
      </c>
      <c r="DP128" s="189">
        <f t="shared" si="1145"/>
        <v>0.71</v>
      </c>
      <c r="DQ128" s="189">
        <f t="shared" si="1146"/>
        <v>0.41000000000000014</v>
      </c>
      <c r="DR128" s="189">
        <f t="shared" si="1147"/>
        <v>0</v>
      </c>
      <c r="DS128" s="189">
        <f t="shared" si="1148"/>
        <v>0</v>
      </c>
      <c r="DT128" s="189">
        <f t="shared" si="1149"/>
        <v>0</v>
      </c>
      <c r="DU128" s="189">
        <f t="shared" si="1150"/>
        <v>0</v>
      </c>
      <c r="DV128" s="189">
        <f t="shared" si="1151"/>
        <v>0</v>
      </c>
      <c r="DW128" s="189">
        <f t="shared" si="1152"/>
        <v>0</v>
      </c>
      <c r="DX128" s="54"/>
      <c r="DY128" s="54"/>
      <c r="DZ128" s="199">
        <f t="shared" ca="1" si="1463"/>
        <v>70972.65779054421</v>
      </c>
      <c r="EA128" s="200">
        <f t="shared" si="1153"/>
        <v>1</v>
      </c>
      <c r="EB128" s="201">
        <f t="shared" ca="1" si="1464"/>
        <v>0</v>
      </c>
      <c r="EC128" s="200">
        <f t="shared" si="1154"/>
        <v>1</v>
      </c>
      <c r="ED128" s="201" cm="1">
        <f t="array" ref="ED128">IF(LEFT($AG128,3)="Res",IF(OR($DN128&gt;External_Threshold,$DD128&gt;0),1*Uplift*AWE*(External),0),0)</f>
        <v>0</v>
      </c>
      <c r="EE128" s="200">
        <f t="shared" si="1155"/>
        <v>1</v>
      </c>
      <c r="EF128" s="201">
        <f t="shared" si="1465"/>
        <v>0</v>
      </c>
      <c r="EG128" s="203">
        <f t="shared" si="1156"/>
        <v>0</v>
      </c>
      <c r="EH128" s="199">
        <f t="shared" ca="1" si="1466"/>
        <v>0</v>
      </c>
      <c r="EI128" s="200">
        <f t="shared" si="1059"/>
        <v>0</v>
      </c>
      <c r="EJ128" s="201">
        <f t="shared" ca="1" si="1467"/>
        <v>0</v>
      </c>
      <c r="EK128" s="200">
        <f t="shared" si="1061"/>
        <v>0</v>
      </c>
      <c r="EL128" s="201" cm="1">
        <f t="array" ref="EL128">IF(LEFT($AG128,3)="Res",IF(OR($DO128&gt;External_Threshold,$DE128&gt;0),1*Uplift*AWE*(External),0),0)</f>
        <v>0</v>
      </c>
      <c r="EM128" s="200">
        <f t="shared" si="1062"/>
        <v>1</v>
      </c>
      <c r="EN128" s="201">
        <f t="shared" si="1468"/>
        <v>0</v>
      </c>
      <c r="EO128" s="203">
        <f t="shared" si="1157"/>
        <v>0</v>
      </c>
      <c r="EP128" s="199">
        <f t="shared" ca="1" si="1469"/>
        <v>0</v>
      </c>
      <c r="EQ128" s="200">
        <f t="shared" si="1065"/>
        <v>0</v>
      </c>
      <c r="ER128" s="201">
        <f t="shared" ca="1" si="1470"/>
        <v>0</v>
      </c>
      <c r="ES128" s="200">
        <f t="shared" si="1067"/>
        <v>0</v>
      </c>
      <c r="ET128" s="201" cm="1">
        <f t="array" ref="ET128">IF(LEFT($AG128,3)="Res",IF(OR($DP128&gt;External_Threshold,$DF128&gt;0),1*Uplift*AWE*(External),0),0)</f>
        <v>0</v>
      </c>
      <c r="EU128" s="200">
        <f t="shared" si="1068"/>
        <v>1</v>
      </c>
      <c r="EV128" s="201">
        <f t="shared" si="1471"/>
        <v>0</v>
      </c>
      <c r="EW128" s="203">
        <f t="shared" si="1158"/>
        <v>0</v>
      </c>
      <c r="EX128" s="199">
        <f t="shared" ca="1" si="1472"/>
        <v>0</v>
      </c>
      <c r="EY128" s="200">
        <f t="shared" si="1071"/>
        <v>0</v>
      </c>
      <c r="EZ128" s="201">
        <f t="shared" ca="1" si="1473"/>
        <v>0</v>
      </c>
      <c r="FA128" s="200">
        <f t="shared" si="1073"/>
        <v>0</v>
      </c>
      <c r="FB128" s="201" cm="1">
        <f t="array" ref="FB128">IF(LEFT($AG128,3)="Res",IF(OR($DQ128&gt;External_Threshold,$DG128&gt;0),1*Uplift*AWE*(External),0),0)</f>
        <v>0</v>
      </c>
      <c r="FC128" s="200">
        <f t="shared" si="1074"/>
        <v>1</v>
      </c>
      <c r="FD128" s="201">
        <f t="shared" si="1075"/>
        <v>0</v>
      </c>
      <c r="FE128" s="203">
        <f t="shared" si="1159"/>
        <v>0</v>
      </c>
      <c r="FF128" s="199">
        <f t="shared" ca="1" si="1474"/>
        <v>0</v>
      </c>
      <c r="FG128" s="200">
        <f t="shared" si="1077"/>
        <v>0</v>
      </c>
      <c r="FH128" s="201">
        <f t="shared" ca="1" si="1475"/>
        <v>0</v>
      </c>
      <c r="FI128" s="200">
        <f t="shared" si="1079"/>
        <v>0</v>
      </c>
      <c r="FJ128" s="201" cm="1">
        <f t="array" ref="FJ128">IF(LEFT($AG128,3)="Res",IF(OR($DR128&gt;External_Threshold,$DH128&gt;0),1*Uplift*AWE*(External),0),0)</f>
        <v>0</v>
      </c>
      <c r="FK128" s="200">
        <f t="shared" si="1080"/>
        <v>0</v>
      </c>
      <c r="FL128" s="201">
        <f t="shared" si="1476"/>
        <v>0</v>
      </c>
      <c r="FM128" s="203">
        <f t="shared" si="1160"/>
        <v>0</v>
      </c>
      <c r="FN128" s="199">
        <f t="shared" ca="1" si="1477"/>
        <v>0</v>
      </c>
      <c r="FO128" s="200">
        <f t="shared" si="1083"/>
        <v>0</v>
      </c>
      <c r="FP128" s="201">
        <f t="shared" ca="1" si="1478"/>
        <v>0</v>
      </c>
      <c r="FQ128" s="200">
        <f t="shared" si="1085"/>
        <v>0</v>
      </c>
      <c r="FR128" s="201" cm="1">
        <f t="array" ref="FR128">IF(LEFT($AG128,3)="Res",IF(OR($DS128&gt;External_Threshold,$DI128&gt;0),1*Uplift*AWE*(External),0),0)</f>
        <v>0</v>
      </c>
      <c r="FS128" s="200">
        <f t="shared" si="1086"/>
        <v>0</v>
      </c>
      <c r="FT128" s="201">
        <f t="shared" si="1479"/>
        <v>0</v>
      </c>
      <c r="FU128" s="203">
        <f t="shared" si="1161"/>
        <v>0</v>
      </c>
      <c r="FV128" s="199">
        <f t="shared" ca="1" si="1480"/>
        <v>0</v>
      </c>
      <c r="FW128" s="200">
        <f t="shared" si="1089"/>
        <v>0</v>
      </c>
      <c r="FX128" s="201">
        <f t="shared" ca="1" si="1481"/>
        <v>0</v>
      </c>
      <c r="FY128" s="200">
        <f t="shared" si="1091"/>
        <v>0</v>
      </c>
      <c r="FZ128" s="201" cm="1">
        <f t="array" ref="FZ128">IF(LEFT($AG128,3)="Res",IF(OR($DT128&gt;External_Threshold,$DJ128&gt;0),1*Uplift*AWE*(External),0),0)</f>
        <v>0</v>
      </c>
      <c r="GA128" s="200">
        <f t="shared" si="1092"/>
        <v>0</v>
      </c>
      <c r="GB128" s="201">
        <f t="shared" si="1482"/>
        <v>0</v>
      </c>
      <c r="GC128" s="203">
        <f t="shared" si="1162"/>
        <v>0</v>
      </c>
      <c r="GD128" s="199">
        <f t="shared" ca="1" si="1483"/>
        <v>0</v>
      </c>
      <c r="GE128" s="200">
        <f t="shared" si="1095"/>
        <v>0</v>
      </c>
      <c r="GF128" s="201">
        <f t="shared" ca="1" si="1484"/>
        <v>0</v>
      </c>
      <c r="GG128" s="200">
        <f t="shared" si="1097"/>
        <v>0</v>
      </c>
      <c r="GH128" s="201" cm="1">
        <f t="array" ref="GH128">IF(LEFT($AG128,3)="Res",IF(OR($DU128&gt;External_Threshold,$DK128&gt;0),1*Uplift*AWE*(External),0),0)</f>
        <v>0</v>
      </c>
      <c r="GI128" s="200">
        <f t="shared" si="1098"/>
        <v>0</v>
      </c>
      <c r="GJ128" s="201">
        <f t="shared" si="1485"/>
        <v>0</v>
      </c>
      <c r="GK128" s="203">
        <f t="shared" si="1163"/>
        <v>0</v>
      </c>
      <c r="GL128" s="199">
        <f t="shared" ca="1" si="1486"/>
        <v>0</v>
      </c>
      <c r="GM128" s="200">
        <f t="shared" si="1101"/>
        <v>0</v>
      </c>
      <c r="GN128" s="201">
        <f t="shared" ca="1" si="1487"/>
        <v>0</v>
      </c>
      <c r="GO128" s="200">
        <f t="shared" si="1103"/>
        <v>0</v>
      </c>
      <c r="GP128" s="201" cm="1">
        <f t="array" ref="GP128">IF(LEFT($AG128,3)="Res",IF(OR($DV128&gt;External_Threshold,$DL128&gt;0),1*Uplift*AWE*(External),0),0)</f>
        <v>0</v>
      </c>
      <c r="GQ128" s="200">
        <f t="shared" si="1104"/>
        <v>0</v>
      </c>
      <c r="GR128" s="201">
        <f t="shared" si="1488"/>
        <v>0</v>
      </c>
      <c r="GS128" s="203">
        <f t="shared" si="1164"/>
        <v>0</v>
      </c>
      <c r="GT128" s="199">
        <f t="shared" ca="1" si="1489"/>
        <v>0</v>
      </c>
      <c r="GU128" s="200">
        <f t="shared" si="1107"/>
        <v>0</v>
      </c>
      <c r="GV128" s="201">
        <f t="shared" ca="1" si="1490"/>
        <v>0</v>
      </c>
      <c r="GW128" s="200">
        <f t="shared" si="1109"/>
        <v>0</v>
      </c>
      <c r="GX128" s="201" cm="1">
        <f t="array" ref="GX128">IF(LEFT($AG128,3)="Res",IF(OR($DW128&gt;External_Threshold,$DM128&gt;0),1*Uplift*AWE*(External),0),0)</f>
        <v>0</v>
      </c>
      <c r="GY128" s="200">
        <f t="shared" si="1110"/>
        <v>0</v>
      </c>
      <c r="GZ128" s="201">
        <f t="shared" si="1491"/>
        <v>0</v>
      </c>
      <c r="HA128" s="203">
        <f t="shared" si="1165"/>
        <v>0</v>
      </c>
      <c r="HB128" s="54"/>
      <c r="HC128" s="54"/>
      <c r="HD128" s="54"/>
      <c r="HE128" s="54"/>
      <c r="HF128" s="54"/>
      <c r="HG128" s="201">
        <f t="shared" ca="1" si="1166"/>
        <v>70972.65779054421</v>
      </c>
      <c r="HH128" s="201">
        <f t="shared" ca="1" si="1167"/>
        <v>0</v>
      </c>
      <c r="HI128" s="201">
        <f t="shared" ca="1" si="1168"/>
        <v>0</v>
      </c>
      <c r="HJ128" s="201">
        <f t="shared" ca="1" si="1169"/>
        <v>0</v>
      </c>
      <c r="HK128" s="201">
        <f t="shared" ca="1" si="1170"/>
        <v>0</v>
      </c>
      <c r="HL128" s="201">
        <f t="shared" ca="1" si="1171"/>
        <v>0</v>
      </c>
      <c r="HM128" s="201">
        <f t="shared" ca="1" si="1172"/>
        <v>0</v>
      </c>
      <c r="HN128" s="201">
        <f t="shared" ca="1" si="1173"/>
        <v>0</v>
      </c>
      <c r="HO128" s="201">
        <f t="shared" ca="1" si="1174"/>
        <v>0</v>
      </c>
      <c r="HP128" s="201">
        <f t="shared" ca="1" si="1175"/>
        <v>0</v>
      </c>
      <c r="HQ128" s="54"/>
    </row>
    <row r="129" spans="1:225" x14ac:dyDescent="0.3">
      <c r="A129" s="513">
        <v>111</v>
      </c>
      <c r="B129" s="514" t="s">
        <v>534</v>
      </c>
      <c r="C129" s="514" t="s">
        <v>390</v>
      </c>
      <c r="D129" s="514" t="s">
        <v>390</v>
      </c>
      <c r="E129" s="513">
        <v>0</v>
      </c>
      <c r="F129" s="515">
        <v>6.33</v>
      </c>
      <c r="G129" s="515">
        <v>5.5</v>
      </c>
      <c r="H129" s="513">
        <v>8</v>
      </c>
      <c r="I129" s="517">
        <v>1</v>
      </c>
      <c r="J129" s="518" t="s">
        <v>43</v>
      </c>
      <c r="K129" s="513">
        <f t="shared" si="1452"/>
        <v>180</v>
      </c>
      <c r="L129" s="519">
        <v>7.5</v>
      </c>
      <c r="M129" s="519">
        <v>6.5</v>
      </c>
      <c r="N129" s="519">
        <v>6.2</v>
      </c>
      <c r="O129" s="519">
        <v>5.9</v>
      </c>
      <c r="P129" s="519">
        <v>5.46</v>
      </c>
      <c r="Q129" s="519">
        <v>5</v>
      </c>
      <c r="R129" s="519">
        <v>4.2</v>
      </c>
      <c r="S129" s="519">
        <v>0</v>
      </c>
      <c r="T129" s="519">
        <v>0</v>
      </c>
      <c r="U129" s="519">
        <v>0</v>
      </c>
      <c r="V129" s="536"/>
      <c r="W129" s="536"/>
      <c r="X129" s="536"/>
      <c r="Y129" s="536"/>
      <c r="Z129" s="536"/>
      <c r="AA129" s="536"/>
      <c r="AB129" s="536"/>
      <c r="AC129" s="536"/>
      <c r="AD129" s="536"/>
      <c r="AE129" s="536"/>
      <c r="AF129" s="54"/>
      <c r="AG129" s="204" t="str">
        <f t="shared" si="1253"/>
        <v>Com1</v>
      </c>
      <c r="AH129" s="204">
        <f t="shared" si="1112"/>
        <v>5</v>
      </c>
      <c r="AI129" s="204">
        <f t="shared" si="1453"/>
        <v>1</v>
      </c>
      <c r="AJ129" s="54"/>
      <c r="AK129" s="74">
        <f>IFERROR(IF(H129&gt;4,0,AI129*Inputs!$C$55),0)</f>
        <v>0</v>
      </c>
      <c r="AL129" s="81">
        <f>IFERROR(Inputs!$C$73,0)</f>
        <v>5</v>
      </c>
      <c r="AM129" s="211">
        <f>IFERROR(Inputs!$C$74,0)</f>
        <v>0.24299999999999999</v>
      </c>
      <c r="AN129" s="446">
        <f>IFERROR(HLOOKUP(HLOOKUP(AN$17,$V$18:$AE129,COUNTA($AK$18:$AK129),FALSE),Inputs!$B$58:$H$59,2,FALSE),0)</f>
        <v>0</v>
      </c>
      <c r="AO129" s="447">
        <f t="shared" si="1113"/>
        <v>0</v>
      </c>
      <c r="AP129" s="447">
        <f t="shared" si="1114"/>
        <v>0</v>
      </c>
      <c r="AQ129" s="446">
        <f>IFERROR(HLOOKUP(HLOOKUP(AQ$17,$V$18:$AE129,COUNTA($AK$18:$AK129),FALSE),Inputs!$B$58:$H$59,2,FALSE),0)</f>
        <v>0</v>
      </c>
      <c r="AR129" s="447">
        <f t="shared" ref="AR129" si="1609">2*$AK129*AQ129*$AL129/100*$AM129</f>
        <v>0</v>
      </c>
      <c r="AS129" s="447">
        <f t="shared" si="1116"/>
        <v>0</v>
      </c>
      <c r="AT129" s="446">
        <f>IFERROR(HLOOKUP(HLOOKUP(AT$17,$V$18:$AE129,COUNTA($AK$18:$AK129),FALSE),Inputs!$B$58:$H$59,2,FALSE),0)</f>
        <v>0</v>
      </c>
      <c r="AU129" s="447">
        <f t="shared" ref="AU129" si="1610">2*$AK129*AT129*$AL129/100*$AM129</f>
        <v>0</v>
      </c>
      <c r="AV129" s="447">
        <f t="shared" si="1118"/>
        <v>0</v>
      </c>
      <c r="AW129" s="446">
        <f>IFERROR(HLOOKUP(HLOOKUP(AW$17,$V$18:$AE129,COUNTA($AK$18:$AK129),FALSE),Inputs!$B$58:$H$59,2,FALSE),0)</f>
        <v>0</v>
      </c>
      <c r="AX129" s="447">
        <f t="shared" ref="AX129" si="1611">2*$AK129*AW129*$AL129/100*$AM129</f>
        <v>0</v>
      </c>
      <c r="AY129" s="447">
        <f t="shared" si="1120"/>
        <v>0</v>
      </c>
      <c r="AZ129" s="446">
        <f>IFERROR(HLOOKUP(HLOOKUP(AZ$17,$V$18:$AE129,COUNTA($AK$18:$AK129),FALSE),Inputs!$B$58:$H$59,2,FALSE),0)</f>
        <v>0</v>
      </c>
      <c r="BA129" s="447">
        <f t="shared" ref="BA129" si="1612">2*$AK129*AZ129*$AL129/100*$AM129</f>
        <v>0</v>
      </c>
      <c r="BB129" s="447">
        <f t="shared" si="1122"/>
        <v>0</v>
      </c>
      <c r="BC129" s="446">
        <f>IFERROR(HLOOKUP(HLOOKUP(BC$17,$V$18:$AE129,COUNTA($AK$18:$AK129),FALSE),Inputs!$B$58:$H$59,2,FALSE),0)</f>
        <v>0</v>
      </c>
      <c r="BD129" s="447">
        <f t="shared" ref="BD129" si="1613">2*$AK129*BC129*$AL129/100*$AM129</f>
        <v>0</v>
      </c>
      <c r="BE129" s="447">
        <f t="shared" si="1124"/>
        <v>0</v>
      </c>
      <c r="BF129" s="446">
        <f>IFERROR(HLOOKUP(HLOOKUP(BF$17,$V$18:$AE129,COUNTA($AK$18:$AK129),FALSE),Inputs!$B$58:$H$59,2,FALSE),0)</f>
        <v>0</v>
      </c>
      <c r="BG129" s="447">
        <f t="shared" ref="BG129" si="1614">2*$AK129*BF129*$AL129/100*$AM129</f>
        <v>0</v>
      </c>
      <c r="BH129" s="447">
        <f t="shared" si="1126"/>
        <v>0</v>
      </c>
      <c r="BI129" s="446">
        <f>IFERROR(HLOOKUP(HLOOKUP(BI$17,$V$18:$AE129,COUNTA($AK$18:$AK129),FALSE),Inputs!$B$58:$H$59,2,FALSE),0)</f>
        <v>0</v>
      </c>
      <c r="BJ129" s="447">
        <f t="shared" ref="BJ129" si="1615">2*$AK129*BI129*$AL129/100*$AM129</f>
        <v>0</v>
      </c>
      <c r="BK129" s="447">
        <f t="shared" si="1128"/>
        <v>0</v>
      </c>
      <c r="BL129" s="446">
        <f>IFERROR(HLOOKUP(HLOOKUP(BL$17,$V$18:$AE129,COUNTA($AK$18:$AK129),FALSE),Inputs!$B$58:$H$59,2,FALSE),0)</f>
        <v>0</v>
      </c>
      <c r="BM129" s="447">
        <f t="shared" ref="BM129" si="1616">2*$AK129*BL129*$AL129/100*$AM129</f>
        <v>0</v>
      </c>
      <c r="BN129" s="447">
        <f t="shared" si="1130"/>
        <v>0</v>
      </c>
      <c r="BO129" s="446">
        <f>IFERROR(HLOOKUP(HLOOKUP(BO$17,$V$18:$AE129,COUNTA($AK$18:$AK129),FALSE),Inputs!$B$58:$H$59,2,FALSE),0)</f>
        <v>0</v>
      </c>
      <c r="BP129" s="447">
        <f t="shared" ref="BP129" si="1617">2*$AK129*BO129*$AL129/100*$AM129</f>
        <v>0</v>
      </c>
      <c r="BQ129" s="447">
        <f t="shared" si="1132"/>
        <v>0</v>
      </c>
      <c r="BR129" s="54"/>
      <c r="BS129" s="103">
        <f t="shared" ca="1" si="1203"/>
        <v>477.89744447232368</v>
      </c>
      <c r="BT129" s="103">
        <f t="shared" ca="1" si="1204"/>
        <v>0</v>
      </c>
      <c r="BU129" s="103">
        <f t="shared" si="1205"/>
        <v>0</v>
      </c>
      <c r="BV129" s="103">
        <f t="shared" si="1206"/>
        <v>0</v>
      </c>
      <c r="BW129" s="152">
        <f t="shared" ca="1" si="1207"/>
        <v>477.89744447232368</v>
      </c>
      <c r="BX129" s="441"/>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188">
        <f t="shared" si="1133"/>
        <v>1.17</v>
      </c>
      <c r="DE129" s="188">
        <f t="shared" si="1134"/>
        <v>0.16999999999999993</v>
      </c>
      <c r="DF129" s="188">
        <f t="shared" si="1135"/>
        <v>-0.12999999999999989</v>
      </c>
      <c r="DG129" s="188">
        <f t="shared" si="1136"/>
        <v>-0.3</v>
      </c>
      <c r="DH129" s="188">
        <f t="shared" si="1137"/>
        <v>-0.3</v>
      </c>
      <c r="DI129" s="188">
        <f t="shared" si="1138"/>
        <v>-0.3</v>
      </c>
      <c r="DJ129" s="188">
        <f t="shared" si="1139"/>
        <v>-0.3</v>
      </c>
      <c r="DK129" s="188">
        <f t="shared" si="1140"/>
        <v>-0.3</v>
      </c>
      <c r="DL129" s="188">
        <f t="shared" si="1141"/>
        <v>-0.3</v>
      </c>
      <c r="DM129" s="188">
        <f t="shared" si="1142"/>
        <v>-0.3</v>
      </c>
      <c r="DN129" s="189">
        <f t="shared" si="1143"/>
        <v>2</v>
      </c>
      <c r="DO129" s="189">
        <f t="shared" si="1144"/>
        <v>1</v>
      </c>
      <c r="DP129" s="189">
        <f t="shared" si="1145"/>
        <v>0.70000000000000018</v>
      </c>
      <c r="DQ129" s="189">
        <f t="shared" si="1146"/>
        <v>0.40000000000000036</v>
      </c>
      <c r="DR129" s="189">
        <f t="shared" si="1147"/>
        <v>0</v>
      </c>
      <c r="DS129" s="189">
        <f t="shared" si="1148"/>
        <v>0</v>
      </c>
      <c r="DT129" s="189">
        <f t="shared" si="1149"/>
        <v>0</v>
      </c>
      <c r="DU129" s="189">
        <f t="shared" si="1150"/>
        <v>0</v>
      </c>
      <c r="DV129" s="189">
        <f t="shared" si="1151"/>
        <v>0</v>
      </c>
      <c r="DW129" s="189">
        <f t="shared" si="1152"/>
        <v>0</v>
      </c>
      <c r="DX129" s="54"/>
      <c r="DY129" s="54"/>
      <c r="DZ129" s="199">
        <f t="shared" ca="1" si="1463"/>
        <v>303366.66078720597</v>
      </c>
      <c r="EA129" s="200">
        <f t="shared" si="1153"/>
        <v>1</v>
      </c>
      <c r="EB129" s="201">
        <f t="shared" ca="1" si="1464"/>
        <v>0</v>
      </c>
      <c r="EC129" s="200">
        <f t="shared" si="1154"/>
        <v>1</v>
      </c>
      <c r="ED129" s="201" cm="1">
        <f t="array" ref="ED129">IF(LEFT($AG129,3)="Res",IF(OR($DN129&gt;External_Threshold,$DD129&gt;0),1*Uplift*AWE*(External),0),0)</f>
        <v>0</v>
      </c>
      <c r="EE129" s="200">
        <f t="shared" si="1155"/>
        <v>1</v>
      </c>
      <c r="EF129" s="201">
        <f t="shared" si="1465"/>
        <v>0</v>
      </c>
      <c r="EG129" s="203">
        <f t="shared" si="1156"/>
        <v>0</v>
      </c>
      <c r="EH129" s="199">
        <f t="shared" ca="1" si="1466"/>
        <v>70560.167129881243</v>
      </c>
      <c r="EI129" s="200">
        <f t="shared" si="1059"/>
        <v>1</v>
      </c>
      <c r="EJ129" s="201">
        <f t="shared" ca="1" si="1467"/>
        <v>0</v>
      </c>
      <c r="EK129" s="200">
        <f t="shared" si="1061"/>
        <v>1</v>
      </c>
      <c r="EL129" s="201" cm="1">
        <f t="array" ref="EL129">IF(LEFT($AG129,3)="Res",IF(OR($DO129&gt;External_Threshold,$DE129&gt;0),1*Uplift*AWE*(External),0),0)</f>
        <v>0</v>
      </c>
      <c r="EM129" s="200">
        <f t="shared" si="1062"/>
        <v>1</v>
      </c>
      <c r="EN129" s="201">
        <f t="shared" si="1468"/>
        <v>0</v>
      </c>
      <c r="EO129" s="203">
        <f t="shared" si="1157"/>
        <v>0</v>
      </c>
      <c r="EP129" s="199">
        <f t="shared" ca="1" si="1469"/>
        <v>0</v>
      </c>
      <c r="EQ129" s="200">
        <f t="shared" si="1065"/>
        <v>0</v>
      </c>
      <c r="ER129" s="201">
        <f t="shared" ca="1" si="1470"/>
        <v>0</v>
      </c>
      <c r="ES129" s="200">
        <f t="shared" si="1067"/>
        <v>0</v>
      </c>
      <c r="ET129" s="201" cm="1">
        <f t="array" ref="ET129">IF(LEFT($AG129,3)="Res",IF(OR($DP129&gt;External_Threshold,$DF129&gt;0),1*Uplift*AWE*(External),0),0)</f>
        <v>0</v>
      </c>
      <c r="EU129" s="200">
        <f t="shared" si="1068"/>
        <v>1</v>
      </c>
      <c r="EV129" s="201">
        <f t="shared" si="1471"/>
        <v>0</v>
      </c>
      <c r="EW129" s="203">
        <f t="shared" si="1158"/>
        <v>0</v>
      </c>
      <c r="EX129" s="199">
        <f t="shared" ca="1" si="1472"/>
        <v>0</v>
      </c>
      <c r="EY129" s="200">
        <f t="shared" si="1071"/>
        <v>0</v>
      </c>
      <c r="EZ129" s="201">
        <f t="shared" ca="1" si="1473"/>
        <v>0</v>
      </c>
      <c r="FA129" s="200">
        <f t="shared" si="1073"/>
        <v>0</v>
      </c>
      <c r="FB129" s="201" cm="1">
        <f t="array" ref="FB129">IF(LEFT($AG129,3)="Res",IF(OR($DQ129&gt;External_Threshold,$DG129&gt;0),1*Uplift*AWE*(External),0),0)</f>
        <v>0</v>
      </c>
      <c r="FC129" s="200">
        <f t="shared" si="1074"/>
        <v>1</v>
      </c>
      <c r="FD129" s="201">
        <f t="shared" si="1075"/>
        <v>0</v>
      </c>
      <c r="FE129" s="203">
        <f t="shared" si="1159"/>
        <v>0</v>
      </c>
      <c r="FF129" s="199">
        <f t="shared" ca="1" si="1474"/>
        <v>0</v>
      </c>
      <c r="FG129" s="200">
        <f t="shared" si="1077"/>
        <v>0</v>
      </c>
      <c r="FH129" s="201">
        <f t="shared" ca="1" si="1475"/>
        <v>0</v>
      </c>
      <c r="FI129" s="200">
        <f t="shared" si="1079"/>
        <v>0</v>
      </c>
      <c r="FJ129" s="201" cm="1">
        <f t="array" ref="FJ129">IF(LEFT($AG129,3)="Res",IF(OR($DR129&gt;External_Threshold,$DH129&gt;0),1*Uplift*AWE*(External),0),0)</f>
        <v>0</v>
      </c>
      <c r="FK129" s="200">
        <f t="shared" si="1080"/>
        <v>0</v>
      </c>
      <c r="FL129" s="201">
        <f t="shared" si="1476"/>
        <v>0</v>
      </c>
      <c r="FM129" s="203">
        <f t="shared" si="1160"/>
        <v>0</v>
      </c>
      <c r="FN129" s="199">
        <f t="shared" ca="1" si="1477"/>
        <v>0</v>
      </c>
      <c r="FO129" s="200">
        <f t="shared" si="1083"/>
        <v>0</v>
      </c>
      <c r="FP129" s="201">
        <f t="shared" ca="1" si="1478"/>
        <v>0</v>
      </c>
      <c r="FQ129" s="200">
        <f t="shared" si="1085"/>
        <v>0</v>
      </c>
      <c r="FR129" s="201" cm="1">
        <f t="array" ref="FR129">IF(LEFT($AG129,3)="Res",IF(OR($DS129&gt;External_Threshold,$DI129&gt;0),1*Uplift*AWE*(External),0),0)</f>
        <v>0</v>
      </c>
      <c r="FS129" s="200">
        <f t="shared" si="1086"/>
        <v>0</v>
      </c>
      <c r="FT129" s="201">
        <f t="shared" si="1479"/>
        <v>0</v>
      </c>
      <c r="FU129" s="203">
        <f t="shared" si="1161"/>
        <v>0</v>
      </c>
      <c r="FV129" s="199">
        <f t="shared" ca="1" si="1480"/>
        <v>0</v>
      </c>
      <c r="FW129" s="200">
        <f t="shared" si="1089"/>
        <v>0</v>
      </c>
      <c r="FX129" s="201">
        <f t="shared" ca="1" si="1481"/>
        <v>0</v>
      </c>
      <c r="FY129" s="200">
        <f t="shared" si="1091"/>
        <v>0</v>
      </c>
      <c r="FZ129" s="201" cm="1">
        <f t="array" ref="FZ129">IF(LEFT($AG129,3)="Res",IF(OR($DT129&gt;External_Threshold,$DJ129&gt;0),1*Uplift*AWE*(External),0),0)</f>
        <v>0</v>
      </c>
      <c r="GA129" s="200">
        <f t="shared" si="1092"/>
        <v>0</v>
      </c>
      <c r="GB129" s="201">
        <f t="shared" si="1482"/>
        <v>0</v>
      </c>
      <c r="GC129" s="203">
        <f t="shared" si="1162"/>
        <v>0</v>
      </c>
      <c r="GD129" s="199">
        <f t="shared" ca="1" si="1483"/>
        <v>0</v>
      </c>
      <c r="GE129" s="200">
        <f t="shared" si="1095"/>
        <v>0</v>
      </c>
      <c r="GF129" s="201">
        <f t="shared" ca="1" si="1484"/>
        <v>0</v>
      </c>
      <c r="GG129" s="200">
        <f t="shared" si="1097"/>
        <v>0</v>
      </c>
      <c r="GH129" s="201" cm="1">
        <f t="array" ref="GH129">IF(LEFT($AG129,3)="Res",IF(OR($DU129&gt;External_Threshold,$DK129&gt;0),1*Uplift*AWE*(External),0),0)</f>
        <v>0</v>
      </c>
      <c r="GI129" s="200">
        <f t="shared" si="1098"/>
        <v>0</v>
      </c>
      <c r="GJ129" s="201">
        <f t="shared" si="1485"/>
        <v>0</v>
      </c>
      <c r="GK129" s="203">
        <f t="shared" si="1163"/>
        <v>0</v>
      </c>
      <c r="GL129" s="199">
        <f t="shared" ca="1" si="1486"/>
        <v>0</v>
      </c>
      <c r="GM129" s="200">
        <f t="shared" si="1101"/>
        <v>0</v>
      </c>
      <c r="GN129" s="201">
        <f t="shared" ca="1" si="1487"/>
        <v>0</v>
      </c>
      <c r="GO129" s="200">
        <f t="shared" si="1103"/>
        <v>0</v>
      </c>
      <c r="GP129" s="201" cm="1">
        <f t="array" ref="GP129">IF(LEFT($AG129,3)="Res",IF(OR($DV129&gt;External_Threshold,$DL129&gt;0),1*Uplift*AWE*(External),0),0)</f>
        <v>0</v>
      </c>
      <c r="GQ129" s="200">
        <f t="shared" si="1104"/>
        <v>0</v>
      </c>
      <c r="GR129" s="201">
        <f t="shared" si="1488"/>
        <v>0</v>
      </c>
      <c r="GS129" s="203">
        <f t="shared" si="1164"/>
        <v>0</v>
      </c>
      <c r="GT129" s="199">
        <f t="shared" ca="1" si="1489"/>
        <v>0</v>
      </c>
      <c r="GU129" s="200">
        <f t="shared" si="1107"/>
        <v>0</v>
      </c>
      <c r="GV129" s="201">
        <f t="shared" ca="1" si="1490"/>
        <v>0</v>
      </c>
      <c r="GW129" s="200">
        <f t="shared" si="1109"/>
        <v>0</v>
      </c>
      <c r="GX129" s="201" cm="1">
        <f t="array" ref="GX129">IF(LEFT($AG129,3)="Res",IF(OR($DW129&gt;External_Threshold,$DM129&gt;0),1*Uplift*AWE*(External),0),0)</f>
        <v>0</v>
      </c>
      <c r="GY129" s="200">
        <f t="shared" si="1110"/>
        <v>0</v>
      </c>
      <c r="GZ129" s="201">
        <f t="shared" si="1491"/>
        <v>0</v>
      </c>
      <c r="HA129" s="203">
        <f t="shared" si="1165"/>
        <v>0</v>
      </c>
      <c r="HB129" s="54"/>
      <c r="HC129" s="54"/>
      <c r="HD129" s="54"/>
      <c r="HE129" s="54"/>
      <c r="HF129" s="54"/>
      <c r="HG129" s="201">
        <f t="shared" ca="1" si="1166"/>
        <v>303366.66078720597</v>
      </c>
      <c r="HH129" s="201">
        <f t="shared" ca="1" si="1167"/>
        <v>70560.167129881243</v>
      </c>
      <c r="HI129" s="201">
        <f t="shared" ca="1" si="1168"/>
        <v>0</v>
      </c>
      <c r="HJ129" s="201">
        <f t="shared" ca="1" si="1169"/>
        <v>0</v>
      </c>
      <c r="HK129" s="201">
        <f t="shared" ca="1" si="1170"/>
        <v>0</v>
      </c>
      <c r="HL129" s="201">
        <f t="shared" ca="1" si="1171"/>
        <v>0</v>
      </c>
      <c r="HM129" s="201">
        <f t="shared" ca="1" si="1172"/>
        <v>0</v>
      </c>
      <c r="HN129" s="201">
        <f t="shared" ca="1" si="1173"/>
        <v>0</v>
      </c>
      <c r="HO129" s="201">
        <f t="shared" ca="1" si="1174"/>
        <v>0</v>
      </c>
      <c r="HP129" s="201">
        <f t="shared" ca="1" si="1175"/>
        <v>0</v>
      </c>
      <c r="HQ129" s="54"/>
    </row>
    <row r="130" spans="1:225" x14ac:dyDescent="0.3">
      <c r="A130" s="513">
        <v>112</v>
      </c>
      <c r="B130" s="514" t="s">
        <v>535</v>
      </c>
      <c r="C130" s="514" t="s">
        <v>390</v>
      </c>
      <c r="D130" s="514" t="s">
        <v>390</v>
      </c>
      <c r="E130" s="513">
        <v>0</v>
      </c>
      <c r="F130" s="515">
        <v>6.01</v>
      </c>
      <c r="G130" s="515">
        <v>6.1</v>
      </c>
      <c r="H130" s="513">
        <v>5</v>
      </c>
      <c r="I130" s="517">
        <v>1</v>
      </c>
      <c r="J130" s="518" t="s">
        <v>44</v>
      </c>
      <c r="K130" s="513">
        <f t="shared" si="1452"/>
        <v>240</v>
      </c>
      <c r="L130" s="519">
        <v>7.4600000000000009</v>
      </c>
      <c r="M130" s="519">
        <v>6.5</v>
      </c>
      <c r="N130" s="519">
        <v>6.2</v>
      </c>
      <c r="O130" s="519">
        <v>5.9</v>
      </c>
      <c r="P130" s="519">
        <v>5.46</v>
      </c>
      <c r="Q130" s="519">
        <v>5</v>
      </c>
      <c r="R130" s="519">
        <v>4.2</v>
      </c>
      <c r="S130" s="519">
        <v>0</v>
      </c>
      <c r="T130" s="519">
        <v>0</v>
      </c>
      <c r="U130" s="519">
        <v>0</v>
      </c>
      <c r="V130" s="536"/>
      <c r="W130" s="536"/>
      <c r="X130" s="536"/>
      <c r="Y130" s="536"/>
      <c r="Z130" s="536"/>
      <c r="AA130" s="536"/>
      <c r="AB130" s="536"/>
      <c r="AC130" s="536"/>
      <c r="AD130" s="536"/>
      <c r="AE130" s="536"/>
      <c r="AF130" s="54"/>
      <c r="AG130" s="204" t="str">
        <f t="shared" si="1253"/>
        <v>Com1</v>
      </c>
      <c r="AH130" s="204">
        <f t="shared" si="1112"/>
        <v>2</v>
      </c>
      <c r="AI130" s="204">
        <f t="shared" si="1453"/>
        <v>1</v>
      </c>
      <c r="AJ130" s="54"/>
      <c r="AK130" s="74">
        <f>IFERROR(IF(H130&gt;4,0,AI130*Inputs!$C$55),0)</f>
        <v>0</v>
      </c>
      <c r="AL130" s="81">
        <f>IFERROR(Inputs!$C$73,0)</f>
        <v>5</v>
      </c>
      <c r="AM130" s="211">
        <f>IFERROR(Inputs!$C$74,0)</f>
        <v>0.24299999999999999</v>
      </c>
      <c r="AN130" s="446">
        <f>IFERROR(HLOOKUP(HLOOKUP(AN$17,$V$18:$AE130,COUNTA($AK$18:$AK130),FALSE),Inputs!$B$58:$H$59,2,FALSE),0)</f>
        <v>0</v>
      </c>
      <c r="AO130" s="447">
        <f t="shared" si="1113"/>
        <v>0</v>
      </c>
      <c r="AP130" s="447">
        <f t="shared" si="1114"/>
        <v>0</v>
      </c>
      <c r="AQ130" s="446">
        <f>IFERROR(HLOOKUP(HLOOKUP(AQ$17,$V$18:$AE130,COUNTA($AK$18:$AK130),FALSE),Inputs!$B$58:$H$59,2,FALSE),0)</f>
        <v>0</v>
      </c>
      <c r="AR130" s="447">
        <f t="shared" ref="AR130" si="1618">2*$AK130*AQ130*$AL130/100*$AM130</f>
        <v>0</v>
      </c>
      <c r="AS130" s="447">
        <f t="shared" si="1116"/>
        <v>0</v>
      </c>
      <c r="AT130" s="446">
        <f>IFERROR(HLOOKUP(HLOOKUP(AT$17,$V$18:$AE130,COUNTA($AK$18:$AK130),FALSE),Inputs!$B$58:$H$59,2,FALSE),0)</f>
        <v>0</v>
      </c>
      <c r="AU130" s="447">
        <f t="shared" ref="AU130" si="1619">2*$AK130*AT130*$AL130/100*$AM130</f>
        <v>0</v>
      </c>
      <c r="AV130" s="447">
        <f t="shared" si="1118"/>
        <v>0</v>
      </c>
      <c r="AW130" s="446">
        <f>IFERROR(HLOOKUP(HLOOKUP(AW$17,$V$18:$AE130,COUNTA($AK$18:$AK130),FALSE),Inputs!$B$58:$H$59,2,FALSE),0)</f>
        <v>0</v>
      </c>
      <c r="AX130" s="447">
        <f t="shared" ref="AX130" si="1620">2*$AK130*AW130*$AL130/100*$AM130</f>
        <v>0</v>
      </c>
      <c r="AY130" s="447">
        <f t="shared" si="1120"/>
        <v>0</v>
      </c>
      <c r="AZ130" s="446">
        <f>IFERROR(HLOOKUP(HLOOKUP(AZ$17,$V$18:$AE130,COUNTA($AK$18:$AK130),FALSE),Inputs!$B$58:$H$59,2,FALSE),0)</f>
        <v>0</v>
      </c>
      <c r="BA130" s="447">
        <f t="shared" ref="BA130" si="1621">2*$AK130*AZ130*$AL130/100*$AM130</f>
        <v>0</v>
      </c>
      <c r="BB130" s="447">
        <f t="shared" si="1122"/>
        <v>0</v>
      </c>
      <c r="BC130" s="446">
        <f>IFERROR(HLOOKUP(HLOOKUP(BC$17,$V$18:$AE130,COUNTA($AK$18:$AK130),FALSE),Inputs!$B$58:$H$59,2,FALSE),0)</f>
        <v>0</v>
      </c>
      <c r="BD130" s="447">
        <f t="shared" ref="BD130" si="1622">2*$AK130*BC130*$AL130/100*$AM130</f>
        <v>0</v>
      </c>
      <c r="BE130" s="447">
        <f t="shared" si="1124"/>
        <v>0</v>
      </c>
      <c r="BF130" s="446">
        <f>IFERROR(HLOOKUP(HLOOKUP(BF$17,$V$18:$AE130,COUNTA($AK$18:$AK130),FALSE),Inputs!$B$58:$H$59,2,FALSE),0)</f>
        <v>0</v>
      </c>
      <c r="BG130" s="447">
        <f t="shared" ref="BG130" si="1623">2*$AK130*BF130*$AL130/100*$AM130</f>
        <v>0</v>
      </c>
      <c r="BH130" s="447">
        <f t="shared" si="1126"/>
        <v>0</v>
      </c>
      <c r="BI130" s="446">
        <f>IFERROR(HLOOKUP(HLOOKUP(BI$17,$V$18:$AE130,COUNTA($AK$18:$AK130),FALSE),Inputs!$B$58:$H$59,2,FALSE),0)</f>
        <v>0</v>
      </c>
      <c r="BJ130" s="447">
        <f t="shared" ref="BJ130" si="1624">2*$AK130*BI130*$AL130/100*$AM130</f>
        <v>0</v>
      </c>
      <c r="BK130" s="447">
        <f t="shared" si="1128"/>
        <v>0</v>
      </c>
      <c r="BL130" s="446">
        <f>IFERROR(HLOOKUP(HLOOKUP(BL$17,$V$18:$AE130,COUNTA($AK$18:$AK130),FALSE),Inputs!$B$58:$H$59,2,FALSE),0)</f>
        <v>0</v>
      </c>
      <c r="BM130" s="447">
        <f t="shared" ref="BM130" si="1625">2*$AK130*BL130*$AL130/100*$AM130</f>
        <v>0</v>
      </c>
      <c r="BN130" s="447">
        <f t="shared" si="1130"/>
        <v>0</v>
      </c>
      <c r="BO130" s="446">
        <f>IFERROR(HLOOKUP(HLOOKUP(BO$17,$V$18:$AE130,COUNTA($AK$18:$AK130),FALSE),Inputs!$B$58:$H$59,2,FALSE),0)</f>
        <v>0</v>
      </c>
      <c r="BP130" s="447">
        <f t="shared" ref="BP130" si="1626">2*$AK130*BO130*$AL130/100*$AM130</f>
        <v>0</v>
      </c>
      <c r="BQ130" s="447">
        <f t="shared" si="1132"/>
        <v>0</v>
      </c>
      <c r="BR130" s="54"/>
      <c r="BS130" s="103">
        <f t="shared" ca="1" si="1203"/>
        <v>587.04589223321182</v>
      </c>
      <c r="BT130" s="103">
        <f t="shared" ca="1" si="1204"/>
        <v>0</v>
      </c>
      <c r="BU130" s="103">
        <f t="shared" si="1205"/>
        <v>0</v>
      </c>
      <c r="BV130" s="103">
        <f t="shared" si="1206"/>
        <v>0</v>
      </c>
      <c r="BW130" s="152">
        <f t="shared" ca="1" si="1207"/>
        <v>587.04589223321182</v>
      </c>
      <c r="BX130" s="441"/>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188">
        <f t="shared" si="1133"/>
        <v>1.4500000000000011</v>
      </c>
      <c r="DE130" s="188">
        <f t="shared" si="1134"/>
        <v>0.49000000000000021</v>
      </c>
      <c r="DF130" s="188">
        <f t="shared" si="1135"/>
        <v>0.19000000000000039</v>
      </c>
      <c r="DG130" s="188">
        <f t="shared" si="1136"/>
        <v>-0.10999999999999943</v>
      </c>
      <c r="DH130" s="188">
        <f t="shared" si="1137"/>
        <v>-0.3</v>
      </c>
      <c r="DI130" s="188">
        <f t="shared" si="1138"/>
        <v>-0.3</v>
      </c>
      <c r="DJ130" s="188">
        <f t="shared" si="1139"/>
        <v>-0.3</v>
      </c>
      <c r="DK130" s="188">
        <f t="shared" si="1140"/>
        <v>-0.3</v>
      </c>
      <c r="DL130" s="188">
        <f t="shared" si="1141"/>
        <v>-0.3</v>
      </c>
      <c r="DM130" s="188">
        <f t="shared" si="1142"/>
        <v>-0.3</v>
      </c>
      <c r="DN130" s="189">
        <f t="shared" si="1143"/>
        <v>1.3600000000000012</v>
      </c>
      <c r="DO130" s="189">
        <f t="shared" si="1144"/>
        <v>0.40000000000000036</v>
      </c>
      <c r="DP130" s="189">
        <f t="shared" si="1145"/>
        <v>0.10000000000000053</v>
      </c>
      <c r="DQ130" s="189">
        <f t="shared" si="1146"/>
        <v>0</v>
      </c>
      <c r="DR130" s="189">
        <f t="shared" si="1147"/>
        <v>0</v>
      </c>
      <c r="DS130" s="189">
        <f t="shared" si="1148"/>
        <v>0</v>
      </c>
      <c r="DT130" s="189">
        <f t="shared" si="1149"/>
        <v>0</v>
      </c>
      <c r="DU130" s="189">
        <f t="shared" si="1150"/>
        <v>0</v>
      </c>
      <c r="DV130" s="189">
        <f t="shared" si="1151"/>
        <v>0</v>
      </c>
      <c r="DW130" s="189">
        <f t="shared" si="1152"/>
        <v>0</v>
      </c>
      <c r="DX130" s="54"/>
      <c r="DY130" s="54"/>
      <c r="DZ130" s="199">
        <f t="shared" ca="1" si="1463"/>
        <v>176833.17854203869</v>
      </c>
      <c r="EA130" s="200">
        <f t="shared" si="1153"/>
        <v>1</v>
      </c>
      <c r="EB130" s="201">
        <f t="shared" ca="1" si="1464"/>
        <v>0</v>
      </c>
      <c r="EC130" s="200">
        <f t="shared" si="1154"/>
        <v>1</v>
      </c>
      <c r="ED130" s="201" cm="1">
        <f t="array" ref="ED130">IF(LEFT($AG130,3)="Res",IF(OR($DN130&gt;External_Threshold,$DD130&gt;0),1*Uplift*AWE*(External),0),0)</f>
        <v>0</v>
      </c>
      <c r="EE130" s="200">
        <f t="shared" si="1155"/>
        <v>1</v>
      </c>
      <c r="EF130" s="201">
        <f t="shared" si="1465"/>
        <v>0</v>
      </c>
      <c r="EG130" s="203">
        <f t="shared" si="1156"/>
        <v>0</v>
      </c>
      <c r="EH130" s="199">
        <f t="shared" ca="1" si="1466"/>
        <v>86560.131666796064</v>
      </c>
      <c r="EI130" s="200">
        <f t="shared" si="1059"/>
        <v>1</v>
      </c>
      <c r="EJ130" s="201">
        <f t="shared" ca="1" si="1467"/>
        <v>0</v>
      </c>
      <c r="EK130" s="200">
        <f t="shared" si="1061"/>
        <v>1</v>
      </c>
      <c r="EL130" s="201" cm="1">
        <f t="array" ref="EL130">IF(LEFT($AG130,3)="Res",IF(OR($DO130&gt;External_Threshold,$DE130&gt;0),1*Uplift*AWE*(External),0),0)</f>
        <v>0</v>
      </c>
      <c r="EM130" s="200">
        <f t="shared" si="1062"/>
        <v>1</v>
      </c>
      <c r="EN130" s="201">
        <f t="shared" si="1468"/>
        <v>0</v>
      </c>
      <c r="EO130" s="203">
        <f t="shared" si="1157"/>
        <v>0</v>
      </c>
      <c r="EP130" s="199">
        <f t="shared" ca="1" si="1469"/>
        <v>48782.33776880677</v>
      </c>
      <c r="EQ130" s="200">
        <f t="shared" si="1065"/>
        <v>1</v>
      </c>
      <c r="ER130" s="201">
        <f t="shared" ca="1" si="1470"/>
        <v>0</v>
      </c>
      <c r="ES130" s="200">
        <f t="shared" si="1067"/>
        <v>1</v>
      </c>
      <c r="ET130" s="201" cm="1">
        <f t="array" ref="ET130">IF(LEFT($AG130,3)="Res",IF(OR($DP130&gt;External_Threshold,$DF130&gt;0),1*Uplift*AWE*(External),0),0)</f>
        <v>0</v>
      </c>
      <c r="EU130" s="200">
        <f t="shared" si="1068"/>
        <v>1</v>
      </c>
      <c r="EV130" s="201">
        <f t="shared" si="1471"/>
        <v>0</v>
      </c>
      <c r="EW130" s="203">
        <f t="shared" si="1158"/>
        <v>0</v>
      </c>
      <c r="EX130" s="199">
        <f t="shared" ca="1" si="1472"/>
        <v>0</v>
      </c>
      <c r="EY130" s="200">
        <f t="shared" si="1071"/>
        <v>0</v>
      </c>
      <c r="EZ130" s="201">
        <f t="shared" ca="1" si="1473"/>
        <v>0</v>
      </c>
      <c r="FA130" s="200">
        <f t="shared" si="1073"/>
        <v>0</v>
      </c>
      <c r="FB130" s="201" cm="1">
        <f t="array" ref="FB130">IF(LEFT($AG130,3)="Res",IF(OR($DQ130&gt;External_Threshold,$DG130&gt;0),1*Uplift*AWE*(External),0),0)</f>
        <v>0</v>
      </c>
      <c r="FC130" s="200">
        <f t="shared" si="1074"/>
        <v>0</v>
      </c>
      <c r="FD130" s="201">
        <f t="shared" si="1075"/>
        <v>0</v>
      </c>
      <c r="FE130" s="203">
        <f t="shared" si="1159"/>
        <v>0</v>
      </c>
      <c r="FF130" s="199">
        <f t="shared" ca="1" si="1474"/>
        <v>0</v>
      </c>
      <c r="FG130" s="200">
        <f t="shared" si="1077"/>
        <v>0</v>
      </c>
      <c r="FH130" s="201">
        <f t="shared" ca="1" si="1475"/>
        <v>0</v>
      </c>
      <c r="FI130" s="200">
        <f t="shared" si="1079"/>
        <v>0</v>
      </c>
      <c r="FJ130" s="201" cm="1">
        <f t="array" ref="FJ130">IF(LEFT($AG130,3)="Res",IF(OR($DR130&gt;External_Threshold,$DH130&gt;0),1*Uplift*AWE*(External),0),0)</f>
        <v>0</v>
      </c>
      <c r="FK130" s="200">
        <f t="shared" si="1080"/>
        <v>0</v>
      </c>
      <c r="FL130" s="201">
        <f t="shared" si="1476"/>
        <v>0</v>
      </c>
      <c r="FM130" s="203">
        <f t="shared" si="1160"/>
        <v>0</v>
      </c>
      <c r="FN130" s="199">
        <f t="shared" ca="1" si="1477"/>
        <v>0</v>
      </c>
      <c r="FO130" s="200">
        <f t="shared" si="1083"/>
        <v>0</v>
      </c>
      <c r="FP130" s="201">
        <f t="shared" ca="1" si="1478"/>
        <v>0</v>
      </c>
      <c r="FQ130" s="200">
        <f t="shared" si="1085"/>
        <v>0</v>
      </c>
      <c r="FR130" s="201" cm="1">
        <f t="array" ref="FR130">IF(LEFT($AG130,3)="Res",IF(OR($DS130&gt;External_Threshold,$DI130&gt;0),1*Uplift*AWE*(External),0),0)</f>
        <v>0</v>
      </c>
      <c r="FS130" s="200">
        <f t="shared" si="1086"/>
        <v>0</v>
      </c>
      <c r="FT130" s="201">
        <f t="shared" si="1479"/>
        <v>0</v>
      </c>
      <c r="FU130" s="203">
        <f t="shared" si="1161"/>
        <v>0</v>
      </c>
      <c r="FV130" s="199">
        <f t="shared" ca="1" si="1480"/>
        <v>0</v>
      </c>
      <c r="FW130" s="200">
        <f t="shared" si="1089"/>
        <v>0</v>
      </c>
      <c r="FX130" s="201">
        <f t="shared" ca="1" si="1481"/>
        <v>0</v>
      </c>
      <c r="FY130" s="200">
        <f t="shared" si="1091"/>
        <v>0</v>
      </c>
      <c r="FZ130" s="201" cm="1">
        <f t="array" ref="FZ130">IF(LEFT($AG130,3)="Res",IF(OR($DT130&gt;External_Threshold,$DJ130&gt;0),1*Uplift*AWE*(External),0),0)</f>
        <v>0</v>
      </c>
      <c r="GA130" s="200">
        <f t="shared" si="1092"/>
        <v>0</v>
      </c>
      <c r="GB130" s="201">
        <f t="shared" si="1482"/>
        <v>0</v>
      </c>
      <c r="GC130" s="203">
        <f t="shared" si="1162"/>
        <v>0</v>
      </c>
      <c r="GD130" s="199">
        <f t="shared" ca="1" si="1483"/>
        <v>0</v>
      </c>
      <c r="GE130" s="200">
        <f t="shared" si="1095"/>
        <v>0</v>
      </c>
      <c r="GF130" s="201">
        <f t="shared" ca="1" si="1484"/>
        <v>0</v>
      </c>
      <c r="GG130" s="200">
        <f t="shared" si="1097"/>
        <v>0</v>
      </c>
      <c r="GH130" s="201" cm="1">
        <f t="array" ref="GH130">IF(LEFT($AG130,3)="Res",IF(OR($DU130&gt;External_Threshold,$DK130&gt;0),1*Uplift*AWE*(External),0),0)</f>
        <v>0</v>
      </c>
      <c r="GI130" s="200">
        <f t="shared" si="1098"/>
        <v>0</v>
      </c>
      <c r="GJ130" s="201">
        <f t="shared" si="1485"/>
        <v>0</v>
      </c>
      <c r="GK130" s="203">
        <f t="shared" si="1163"/>
        <v>0</v>
      </c>
      <c r="GL130" s="199">
        <f t="shared" ca="1" si="1486"/>
        <v>0</v>
      </c>
      <c r="GM130" s="200">
        <f t="shared" si="1101"/>
        <v>0</v>
      </c>
      <c r="GN130" s="201">
        <f t="shared" ca="1" si="1487"/>
        <v>0</v>
      </c>
      <c r="GO130" s="200">
        <f t="shared" si="1103"/>
        <v>0</v>
      </c>
      <c r="GP130" s="201" cm="1">
        <f t="array" ref="GP130">IF(LEFT($AG130,3)="Res",IF(OR($DV130&gt;External_Threshold,$DL130&gt;0),1*Uplift*AWE*(External),0),0)</f>
        <v>0</v>
      </c>
      <c r="GQ130" s="200">
        <f t="shared" si="1104"/>
        <v>0</v>
      </c>
      <c r="GR130" s="201">
        <f t="shared" si="1488"/>
        <v>0</v>
      </c>
      <c r="GS130" s="203">
        <f t="shared" si="1164"/>
        <v>0</v>
      </c>
      <c r="GT130" s="199">
        <f t="shared" ca="1" si="1489"/>
        <v>0</v>
      </c>
      <c r="GU130" s="200">
        <f t="shared" si="1107"/>
        <v>0</v>
      </c>
      <c r="GV130" s="201">
        <f t="shared" ca="1" si="1490"/>
        <v>0</v>
      </c>
      <c r="GW130" s="200">
        <f t="shared" si="1109"/>
        <v>0</v>
      </c>
      <c r="GX130" s="201" cm="1">
        <f t="array" ref="GX130">IF(LEFT($AG130,3)="Res",IF(OR($DW130&gt;External_Threshold,$DM130&gt;0),1*Uplift*AWE*(External),0),0)</f>
        <v>0</v>
      </c>
      <c r="GY130" s="200">
        <f t="shared" si="1110"/>
        <v>0</v>
      </c>
      <c r="GZ130" s="201">
        <f t="shared" si="1491"/>
        <v>0</v>
      </c>
      <c r="HA130" s="203">
        <f t="shared" si="1165"/>
        <v>0</v>
      </c>
      <c r="HB130" s="54"/>
      <c r="HC130" s="54"/>
      <c r="HD130" s="54"/>
      <c r="HE130" s="54"/>
      <c r="HF130" s="54"/>
      <c r="HG130" s="201">
        <f t="shared" ca="1" si="1166"/>
        <v>176833.17854203869</v>
      </c>
      <c r="HH130" s="201">
        <f t="shared" ca="1" si="1167"/>
        <v>86560.131666796064</v>
      </c>
      <c r="HI130" s="201">
        <f t="shared" ca="1" si="1168"/>
        <v>48782.33776880677</v>
      </c>
      <c r="HJ130" s="201">
        <f t="shared" ca="1" si="1169"/>
        <v>0</v>
      </c>
      <c r="HK130" s="201">
        <f t="shared" ca="1" si="1170"/>
        <v>0</v>
      </c>
      <c r="HL130" s="201">
        <f t="shared" ca="1" si="1171"/>
        <v>0</v>
      </c>
      <c r="HM130" s="201">
        <f t="shared" ca="1" si="1172"/>
        <v>0</v>
      </c>
      <c r="HN130" s="201">
        <f t="shared" ca="1" si="1173"/>
        <v>0</v>
      </c>
      <c r="HO130" s="201">
        <f t="shared" ca="1" si="1174"/>
        <v>0</v>
      </c>
      <c r="HP130" s="201">
        <f t="shared" ca="1" si="1175"/>
        <v>0</v>
      </c>
      <c r="HQ130" s="54"/>
    </row>
    <row r="131" spans="1:225" x14ac:dyDescent="0.3">
      <c r="A131" s="513">
        <v>113</v>
      </c>
      <c r="B131" s="514" t="s">
        <v>536</v>
      </c>
      <c r="C131" s="514" t="s">
        <v>390</v>
      </c>
      <c r="D131" s="514" t="s">
        <v>390</v>
      </c>
      <c r="E131" s="513">
        <v>0</v>
      </c>
      <c r="F131" s="515">
        <v>5.82</v>
      </c>
      <c r="G131" s="515">
        <v>5.95</v>
      </c>
      <c r="H131" s="513">
        <v>6</v>
      </c>
      <c r="I131" s="517">
        <v>1</v>
      </c>
      <c r="J131" s="518" t="s">
        <v>295</v>
      </c>
      <c r="K131" s="513">
        <f t="shared" si="1452"/>
        <v>220</v>
      </c>
      <c r="L131" s="519">
        <v>7.5</v>
      </c>
      <c r="M131" s="519">
        <v>6.5</v>
      </c>
      <c r="N131" s="519">
        <v>6.2</v>
      </c>
      <c r="O131" s="519">
        <v>5.9</v>
      </c>
      <c r="P131" s="519">
        <v>5.46</v>
      </c>
      <c r="Q131" s="519">
        <v>5</v>
      </c>
      <c r="R131" s="519">
        <v>4.2</v>
      </c>
      <c r="S131" s="519">
        <v>0</v>
      </c>
      <c r="T131" s="519">
        <v>0</v>
      </c>
      <c r="U131" s="519">
        <v>0</v>
      </c>
      <c r="V131" s="536"/>
      <c r="W131" s="536"/>
      <c r="X131" s="536"/>
      <c r="Y131" s="536"/>
      <c r="Z131" s="536"/>
      <c r="AA131" s="536"/>
      <c r="AB131" s="536"/>
      <c r="AC131" s="536"/>
      <c r="AD131" s="536"/>
      <c r="AE131" s="536"/>
      <c r="AF131" s="54"/>
      <c r="AG131" s="204" t="str">
        <f t="shared" si="1253"/>
        <v>Com1</v>
      </c>
      <c r="AH131" s="204">
        <f t="shared" si="1112"/>
        <v>3</v>
      </c>
      <c r="AI131" s="204">
        <f t="shared" si="1453"/>
        <v>1</v>
      </c>
      <c r="AJ131" s="54"/>
      <c r="AK131" s="74">
        <f>IFERROR(IF(H131&gt;4,0,AI131*Inputs!$C$55),0)</f>
        <v>0</v>
      </c>
      <c r="AL131" s="81">
        <f>IFERROR(Inputs!$C$73,0)</f>
        <v>5</v>
      </c>
      <c r="AM131" s="211">
        <f>IFERROR(Inputs!$C$74,0)</f>
        <v>0.24299999999999999</v>
      </c>
      <c r="AN131" s="446">
        <f>IFERROR(HLOOKUP(HLOOKUP(AN$17,$V$18:$AE131,COUNTA($AK$18:$AK131),FALSE),Inputs!$B$58:$H$59,2,FALSE),0)</f>
        <v>0</v>
      </c>
      <c r="AO131" s="447">
        <f t="shared" si="1113"/>
        <v>0</v>
      </c>
      <c r="AP131" s="447">
        <f t="shared" si="1114"/>
        <v>0</v>
      </c>
      <c r="AQ131" s="446">
        <f>IFERROR(HLOOKUP(HLOOKUP(AQ$17,$V$18:$AE131,COUNTA($AK$18:$AK131),FALSE),Inputs!$B$58:$H$59,2,FALSE),0)</f>
        <v>0</v>
      </c>
      <c r="AR131" s="447">
        <f t="shared" ref="AR131" si="1627">2*$AK131*AQ131*$AL131/100*$AM131</f>
        <v>0</v>
      </c>
      <c r="AS131" s="447">
        <f t="shared" si="1116"/>
        <v>0</v>
      </c>
      <c r="AT131" s="446">
        <f>IFERROR(HLOOKUP(HLOOKUP(AT$17,$V$18:$AE131,COUNTA($AK$18:$AK131),FALSE),Inputs!$B$58:$H$59,2,FALSE),0)</f>
        <v>0</v>
      </c>
      <c r="AU131" s="447">
        <f t="shared" ref="AU131" si="1628">2*$AK131*AT131*$AL131/100*$AM131</f>
        <v>0</v>
      </c>
      <c r="AV131" s="447">
        <f t="shared" si="1118"/>
        <v>0</v>
      </c>
      <c r="AW131" s="446">
        <f>IFERROR(HLOOKUP(HLOOKUP(AW$17,$V$18:$AE131,COUNTA($AK$18:$AK131),FALSE),Inputs!$B$58:$H$59,2,FALSE),0)</f>
        <v>0</v>
      </c>
      <c r="AX131" s="447">
        <f t="shared" ref="AX131" si="1629">2*$AK131*AW131*$AL131/100*$AM131</f>
        <v>0</v>
      </c>
      <c r="AY131" s="447">
        <f t="shared" si="1120"/>
        <v>0</v>
      </c>
      <c r="AZ131" s="446">
        <f>IFERROR(HLOOKUP(HLOOKUP(AZ$17,$V$18:$AE131,COUNTA($AK$18:$AK131),FALSE),Inputs!$B$58:$H$59,2,FALSE),0)</f>
        <v>0</v>
      </c>
      <c r="BA131" s="447">
        <f t="shared" ref="BA131" si="1630">2*$AK131*AZ131*$AL131/100*$AM131</f>
        <v>0</v>
      </c>
      <c r="BB131" s="447">
        <f t="shared" si="1122"/>
        <v>0</v>
      </c>
      <c r="BC131" s="446">
        <f>IFERROR(HLOOKUP(HLOOKUP(BC$17,$V$18:$AE131,COUNTA($AK$18:$AK131),FALSE),Inputs!$B$58:$H$59,2,FALSE),0)</f>
        <v>0</v>
      </c>
      <c r="BD131" s="447">
        <f t="shared" ref="BD131" si="1631">2*$AK131*BC131*$AL131/100*$AM131</f>
        <v>0</v>
      </c>
      <c r="BE131" s="447">
        <f t="shared" si="1124"/>
        <v>0</v>
      </c>
      <c r="BF131" s="446">
        <f>IFERROR(HLOOKUP(HLOOKUP(BF$17,$V$18:$AE131,COUNTA($AK$18:$AK131),FALSE),Inputs!$B$58:$H$59,2,FALSE),0)</f>
        <v>0</v>
      </c>
      <c r="BG131" s="447">
        <f t="shared" ref="BG131" si="1632">2*$AK131*BF131*$AL131/100*$AM131</f>
        <v>0</v>
      </c>
      <c r="BH131" s="447">
        <f t="shared" si="1126"/>
        <v>0</v>
      </c>
      <c r="BI131" s="446">
        <f>IFERROR(HLOOKUP(HLOOKUP(BI$17,$V$18:$AE131,COUNTA($AK$18:$AK131),FALSE),Inputs!$B$58:$H$59,2,FALSE),0)</f>
        <v>0</v>
      </c>
      <c r="BJ131" s="447">
        <f t="shared" ref="BJ131" si="1633">2*$AK131*BI131*$AL131/100*$AM131</f>
        <v>0</v>
      </c>
      <c r="BK131" s="447">
        <f t="shared" si="1128"/>
        <v>0</v>
      </c>
      <c r="BL131" s="446">
        <f>IFERROR(HLOOKUP(HLOOKUP(BL$17,$V$18:$AE131,COUNTA($AK$18:$AK131),FALSE),Inputs!$B$58:$H$59,2,FALSE),0)</f>
        <v>0</v>
      </c>
      <c r="BM131" s="447">
        <f t="shared" ref="BM131" si="1634">2*$AK131*BL131*$AL131/100*$AM131</f>
        <v>0</v>
      </c>
      <c r="BN131" s="447">
        <f t="shared" si="1130"/>
        <v>0</v>
      </c>
      <c r="BO131" s="446">
        <f>IFERROR(HLOOKUP(HLOOKUP(BO$17,$V$18:$AE131,COUNTA($AK$18:$AK131),FALSE),Inputs!$B$58:$H$59,2,FALSE),0)</f>
        <v>0</v>
      </c>
      <c r="BP131" s="447">
        <f t="shared" ref="BP131" si="1635">2*$AK131*BO131*$AL131/100*$AM131</f>
        <v>0</v>
      </c>
      <c r="BQ131" s="447">
        <f t="shared" si="1132"/>
        <v>0</v>
      </c>
      <c r="BR131" s="54"/>
      <c r="BS131" s="103">
        <f t="shared" ca="1" si="1203"/>
        <v>1109.592773177626</v>
      </c>
      <c r="BT131" s="103">
        <f t="shared" ca="1" si="1204"/>
        <v>0</v>
      </c>
      <c r="BU131" s="103">
        <f t="shared" si="1205"/>
        <v>0</v>
      </c>
      <c r="BV131" s="103">
        <f t="shared" si="1206"/>
        <v>0</v>
      </c>
      <c r="BW131" s="152">
        <f t="shared" ca="1" si="1207"/>
        <v>1109.592773177626</v>
      </c>
      <c r="BX131" s="441"/>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188">
        <f t="shared" si="1133"/>
        <v>1.6799999999999997</v>
      </c>
      <c r="DE131" s="188">
        <f t="shared" si="1134"/>
        <v>0.67999999999999972</v>
      </c>
      <c r="DF131" s="188">
        <f t="shared" si="1135"/>
        <v>0.37999999999999989</v>
      </c>
      <c r="DG131" s="188">
        <f t="shared" si="1136"/>
        <v>8.0000000000000071E-2</v>
      </c>
      <c r="DH131" s="188">
        <f t="shared" si="1137"/>
        <v>-0.3</v>
      </c>
      <c r="DI131" s="188">
        <f t="shared" si="1138"/>
        <v>-0.3</v>
      </c>
      <c r="DJ131" s="188">
        <f t="shared" si="1139"/>
        <v>-0.3</v>
      </c>
      <c r="DK131" s="188">
        <f t="shared" si="1140"/>
        <v>-0.3</v>
      </c>
      <c r="DL131" s="188">
        <f t="shared" si="1141"/>
        <v>-0.3</v>
      </c>
      <c r="DM131" s="188">
        <f t="shared" si="1142"/>
        <v>-0.3</v>
      </c>
      <c r="DN131" s="189">
        <f t="shared" si="1143"/>
        <v>1.5499999999999998</v>
      </c>
      <c r="DO131" s="189">
        <f t="shared" si="1144"/>
        <v>0.54999999999999982</v>
      </c>
      <c r="DP131" s="189">
        <f t="shared" si="1145"/>
        <v>0.25</v>
      </c>
      <c r="DQ131" s="189">
        <f t="shared" si="1146"/>
        <v>0</v>
      </c>
      <c r="DR131" s="189">
        <f t="shared" si="1147"/>
        <v>0</v>
      </c>
      <c r="DS131" s="189">
        <f t="shared" si="1148"/>
        <v>0</v>
      </c>
      <c r="DT131" s="189">
        <f t="shared" si="1149"/>
        <v>0</v>
      </c>
      <c r="DU131" s="189">
        <f t="shared" si="1150"/>
        <v>0</v>
      </c>
      <c r="DV131" s="189">
        <f t="shared" si="1151"/>
        <v>0</v>
      </c>
      <c r="DW131" s="189">
        <f t="shared" si="1152"/>
        <v>0</v>
      </c>
      <c r="DX131" s="54"/>
      <c r="DY131" s="54"/>
      <c r="DZ131" s="199">
        <f t="shared" ca="1" si="1463"/>
        <v>220553.09461998293</v>
      </c>
      <c r="EA131" s="200">
        <f t="shared" si="1153"/>
        <v>1</v>
      </c>
      <c r="EB131" s="201">
        <f t="shared" ca="1" si="1464"/>
        <v>0</v>
      </c>
      <c r="EC131" s="200">
        <f t="shared" si="1154"/>
        <v>1</v>
      </c>
      <c r="ED131" s="201" cm="1">
        <f t="array" ref="ED131">IF(LEFT($AG131,3)="Res",IF(OR($DN131&gt;External_Threshold,$DD131&gt;0),1*Uplift*AWE*(External),0),0)</f>
        <v>0</v>
      </c>
      <c r="EE131" s="200">
        <f t="shared" si="1155"/>
        <v>1</v>
      </c>
      <c r="EF131" s="201">
        <f t="shared" si="1465"/>
        <v>0</v>
      </c>
      <c r="EG131" s="203">
        <f t="shared" si="1156"/>
        <v>0</v>
      </c>
      <c r="EH131" s="199">
        <f t="shared" ca="1" si="1466"/>
        <v>126137.66695132367</v>
      </c>
      <c r="EI131" s="200">
        <f t="shared" si="1059"/>
        <v>1</v>
      </c>
      <c r="EJ131" s="201">
        <f t="shared" ca="1" si="1467"/>
        <v>0</v>
      </c>
      <c r="EK131" s="200">
        <f t="shared" si="1061"/>
        <v>1</v>
      </c>
      <c r="EL131" s="201" cm="1">
        <f t="array" ref="EL131">IF(LEFT($AG131,3)="Res",IF(OR($DO131&gt;External_Threshold,$DE131&gt;0),1*Uplift*AWE*(External),0),0)</f>
        <v>0</v>
      </c>
      <c r="EM131" s="200">
        <f t="shared" si="1062"/>
        <v>1</v>
      </c>
      <c r="EN131" s="201">
        <f t="shared" si="1468"/>
        <v>0</v>
      </c>
      <c r="EO131" s="203">
        <f t="shared" si="1157"/>
        <v>0</v>
      </c>
      <c r="EP131" s="199">
        <f t="shared" ca="1" si="1469"/>
        <v>89957.113578138349</v>
      </c>
      <c r="EQ131" s="200">
        <f t="shared" si="1065"/>
        <v>1</v>
      </c>
      <c r="ER131" s="201">
        <f t="shared" ca="1" si="1470"/>
        <v>0</v>
      </c>
      <c r="ES131" s="200">
        <f t="shared" si="1067"/>
        <v>1</v>
      </c>
      <c r="ET131" s="201" cm="1">
        <f t="array" ref="ET131">IF(LEFT($AG131,3)="Res",IF(OR($DP131&gt;External_Threshold,$DF131&gt;0),1*Uplift*AWE*(External),0),0)</f>
        <v>0</v>
      </c>
      <c r="EU131" s="200">
        <f t="shared" si="1068"/>
        <v>1</v>
      </c>
      <c r="EV131" s="201">
        <f t="shared" si="1471"/>
        <v>0</v>
      </c>
      <c r="EW131" s="203">
        <f t="shared" si="1158"/>
        <v>0</v>
      </c>
      <c r="EX131" s="199">
        <f t="shared" ca="1" si="1472"/>
        <v>28746.734756618276</v>
      </c>
      <c r="EY131" s="200">
        <f t="shared" si="1071"/>
        <v>1</v>
      </c>
      <c r="EZ131" s="201">
        <f t="shared" ca="1" si="1473"/>
        <v>0</v>
      </c>
      <c r="FA131" s="200">
        <f t="shared" si="1073"/>
        <v>1</v>
      </c>
      <c r="FB131" s="201" cm="1">
        <f t="array" ref="FB131">IF(LEFT($AG131,3)="Res",IF(OR($DQ131&gt;External_Threshold,$DG131&gt;0),1*Uplift*AWE*(External),0),0)</f>
        <v>0</v>
      </c>
      <c r="FC131" s="200">
        <f t="shared" si="1074"/>
        <v>0</v>
      </c>
      <c r="FD131" s="201">
        <f t="shared" si="1075"/>
        <v>0</v>
      </c>
      <c r="FE131" s="203">
        <f t="shared" si="1159"/>
        <v>0</v>
      </c>
      <c r="FF131" s="199">
        <f t="shared" ca="1" si="1474"/>
        <v>0</v>
      </c>
      <c r="FG131" s="200">
        <f t="shared" si="1077"/>
        <v>0</v>
      </c>
      <c r="FH131" s="201">
        <f t="shared" ca="1" si="1475"/>
        <v>0</v>
      </c>
      <c r="FI131" s="200">
        <f t="shared" si="1079"/>
        <v>0</v>
      </c>
      <c r="FJ131" s="201" cm="1">
        <f t="array" ref="FJ131">IF(LEFT($AG131,3)="Res",IF(OR($DR131&gt;External_Threshold,$DH131&gt;0),1*Uplift*AWE*(External),0),0)</f>
        <v>0</v>
      </c>
      <c r="FK131" s="200">
        <f t="shared" si="1080"/>
        <v>0</v>
      </c>
      <c r="FL131" s="201">
        <f t="shared" si="1476"/>
        <v>0</v>
      </c>
      <c r="FM131" s="203">
        <f t="shared" si="1160"/>
        <v>0</v>
      </c>
      <c r="FN131" s="199">
        <f t="shared" ca="1" si="1477"/>
        <v>0</v>
      </c>
      <c r="FO131" s="200">
        <f t="shared" si="1083"/>
        <v>0</v>
      </c>
      <c r="FP131" s="201">
        <f t="shared" ca="1" si="1478"/>
        <v>0</v>
      </c>
      <c r="FQ131" s="200">
        <f t="shared" si="1085"/>
        <v>0</v>
      </c>
      <c r="FR131" s="201" cm="1">
        <f t="array" ref="FR131">IF(LEFT($AG131,3)="Res",IF(OR($DS131&gt;External_Threshold,$DI131&gt;0),1*Uplift*AWE*(External),0),0)</f>
        <v>0</v>
      </c>
      <c r="FS131" s="200">
        <f t="shared" si="1086"/>
        <v>0</v>
      </c>
      <c r="FT131" s="201">
        <f t="shared" si="1479"/>
        <v>0</v>
      </c>
      <c r="FU131" s="203">
        <f t="shared" si="1161"/>
        <v>0</v>
      </c>
      <c r="FV131" s="199">
        <f t="shared" ca="1" si="1480"/>
        <v>0</v>
      </c>
      <c r="FW131" s="200">
        <f t="shared" si="1089"/>
        <v>0</v>
      </c>
      <c r="FX131" s="201">
        <f t="shared" ca="1" si="1481"/>
        <v>0</v>
      </c>
      <c r="FY131" s="200">
        <f t="shared" si="1091"/>
        <v>0</v>
      </c>
      <c r="FZ131" s="201" cm="1">
        <f t="array" ref="FZ131">IF(LEFT($AG131,3)="Res",IF(OR($DT131&gt;External_Threshold,$DJ131&gt;0),1*Uplift*AWE*(External),0),0)</f>
        <v>0</v>
      </c>
      <c r="GA131" s="200">
        <f t="shared" si="1092"/>
        <v>0</v>
      </c>
      <c r="GB131" s="201">
        <f t="shared" si="1482"/>
        <v>0</v>
      </c>
      <c r="GC131" s="203">
        <f t="shared" si="1162"/>
        <v>0</v>
      </c>
      <c r="GD131" s="199">
        <f t="shared" ca="1" si="1483"/>
        <v>0</v>
      </c>
      <c r="GE131" s="200">
        <f t="shared" si="1095"/>
        <v>0</v>
      </c>
      <c r="GF131" s="201">
        <f t="shared" ca="1" si="1484"/>
        <v>0</v>
      </c>
      <c r="GG131" s="200">
        <f t="shared" si="1097"/>
        <v>0</v>
      </c>
      <c r="GH131" s="201" cm="1">
        <f t="array" ref="GH131">IF(LEFT($AG131,3)="Res",IF(OR($DU131&gt;External_Threshold,$DK131&gt;0),1*Uplift*AWE*(External),0),0)</f>
        <v>0</v>
      </c>
      <c r="GI131" s="200">
        <f t="shared" si="1098"/>
        <v>0</v>
      </c>
      <c r="GJ131" s="201">
        <f t="shared" si="1485"/>
        <v>0</v>
      </c>
      <c r="GK131" s="203">
        <f t="shared" si="1163"/>
        <v>0</v>
      </c>
      <c r="GL131" s="199">
        <f t="shared" ca="1" si="1486"/>
        <v>0</v>
      </c>
      <c r="GM131" s="200">
        <f t="shared" si="1101"/>
        <v>0</v>
      </c>
      <c r="GN131" s="201">
        <f t="shared" ca="1" si="1487"/>
        <v>0</v>
      </c>
      <c r="GO131" s="200">
        <f t="shared" si="1103"/>
        <v>0</v>
      </c>
      <c r="GP131" s="201" cm="1">
        <f t="array" ref="GP131">IF(LEFT($AG131,3)="Res",IF(OR($DV131&gt;External_Threshold,$DL131&gt;0),1*Uplift*AWE*(External),0),0)</f>
        <v>0</v>
      </c>
      <c r="GQ131" s="200">
        <f t="shared" si="1104"/>
        <v>0</v>
      </c>
      <c r="GR131" s="201">
        <f t="shared" si="1488"/>
        <v>0</v>
      </c>
      <c r="GS131" s="203">
        <f t="shared" si="1164"/>
        <v>0</v>
      </c>
      <c r="GT131" s="199">
        <f t="shared" ca="1" si="1489"/>
        <v>0</v>
      </c>
      <c r="GU131" s="200">
        <f t="shared" si="1107"/>
        <v>0</v>
      </c>
      <c r="GV131" s="201">
        <f t="shared" ca="1" si="1490"/>
        <v>0</v>
      </c>
      <c r="GW131" s="200">
        <f t="shared" si="1109"/>
        <v>0</v>
      </c>
      <c r="GX131" s="201" cm="1">
        <f t="array" ref="GX131">IF(LEFT($AG131,3)="Res",IF(OR($DW131&gt;External_Threshold,$DM131&gt;0),1*Uplift*AWE*(External),0),0)</f>
        <v>0</v>
      </c>
      <c r="GY131" s="200">
        <f t="shared" si="1110"/>
        <v>0</v>
      </c>
      <c r="GZ131" s="201">
        <f t="shared" si="1491"/>
        <v>0</v>
      </c>
      <c r="HA131" s="203">
        <f t="shared" si="1165"/>
        <v>0</v>
      </c>
      <c r="HB131" s="54"/>
      <c r="HC131" s="54"/>
      <c r="HD131" s="54"/>
      <c r="HE131" s="54"/>
      <c r="HF131" s="54"/>
      <c r="HG131" s="201">
        <f t="shared" ca="1" si="1166"/>
        <v>220553.09461998293</v>
      </c>
      <c r="HH131" s="201">
        <f t="shared" ca="1" si="1167"/>
        <v>126137.66695132367</v>
      </c>
      <c r="HI131" s="201">
        <f t="shared" ca="1" si="1168"/>
        <v>89957.113578138349</v>
      </c>
      <c r="HJ131" s="201">
        <f t="shared" ca="1" si="1169"/>
        <v>28746.734756618276</v>
      </c>
      <c r="HK131" s="201">
        <f t="shared" ca="1" si="1170"/>
        <v>0</v>
      </c>
      <c r="HL131" s="201">
        <f t="shared" ca="1" si="1171"/>
        <v>0</v>
      </c>
      <c r="HM131" s="201">
        <f t="shared" ca="1" si="1172"/>
        <v>0</v>
      </c>
      <c r="HN131" s="201">
        <f t="shared" ca="1" si="1173"/>
        <v>0</v>
      </c>
      <c r="HO131" s="201">
        <f t="shared" ca="1" si="1174"/>
        <v>0</v>
      </c>
      <c r="HP131" s="201">
        <f t="shared" ca="1" si="1175"/>
        <v>0</v>
      </c>
      <c r="HQ131" s="54"/>
    </row>
    <row r="132" spans="1:225" x14ac:dyDescent="0.3">
      <c r="A132" s="513">
        <v>114</v>
      </c>
      <c r="B132" s="514" t="s">
        <v>537</v>
      </c>
      <c r="C132" s="514" t="s">
        <v>390</v>
      </c>
      <c r="D132" s="514" t="s">
        <v>390</v>
      </c>
      <c r="E132" s="513">
        <v>0</v>
      </c>
      <c r="F132" s="515">
        <v>7.28</v>
      </c>
      <c r="G132" s="515">
        <v>5.8</v>
      </c>
      <c r="H132" s="513">
        <v>7</v>
      </c>
      <c r="I132" s="517">
        <v>1</v>
      </c>
      <c r="J132" s="518" t="s">
        <v>295</v>
      </c>
      <c r="K132" s="513">
        <f t="shared" si="1452"/>
        <v>220</v>
      </c>
      <c r="L132" s="519">
        <v>7.5</v>
      </c>
      <c r="M132" s="519">
        <v>6.5</v>
      </c>
      <c r="N132" s="519">
        <v>6.2</v>
      </c>
      <c r="O132" s="519">
        <v>5.9</v>
      </c>
      <c r="P132" s="519">
        <v>5.46</v>
      </c>
      <c r="Q132" s="519">
        <v>5</v>
      </c>
      <c r="R132" s="519">
        <v>4.2</v>
      </c>
      <c r="S132" s="519">
        <v>0</v>
      </c>
      <c r="T132" s="519">
        <v>0</v>
      </c>
      <c r="U132" s="519">
        <v>0</v>
      </c>
      <c r="V132" s="536"/>
      <c r="W132" s="536"/>
      <c r="X132" s="536"/>
      <c r="Y132" s="536"/>
      <c r="Z132" s="536"/>
      <c r="AA132" s="536"/>
      <c r="AB132" s="536"/>
      <c r="AC132" s="536"/>
      <c r="AD132" s="536"/>
      <c r="AE132" s="536"/>
      <c r="AF132" s="54"/>
      <c r="AG132" s="204" t="str">
        <f t="shared" si="1253"/>
        <v>Com1</v>
      </c>
      <c r="AH132" s="204">
        <f t="shared" si="1112"/>
        <v>4</v>
      </c>
      <c r="AI132" s="204">
        <f t="shared" si="1453"/>
        <v>1</v>
      </c>
      <c r="AJ132" s="54"/>
      <c r="AK132" s="74">
        <f>IFERROR(IF(H132&gt;4,0,AI132*Inputs!$C$55),0)</f>
        <v>0</v>
      </c>
      <c r="AL132" s="81">
        <f>IFERROR(Inputs!$C$73,0)</f>
        <v>5</v>
      </c>
      <c r="AM132" s="211">
        <f>IFERROR(Inputs!$C$74,0)</f>
        <v>0.24299999999999999</v>
      </c>
      <c r="AN132" s="446">
        <f>IFERROR(HLOOKUP(HLOOKUP(AN$17,$V$18:$AE132,COUNTA($AK$18:$AK132),FALSE),Inputs!$B$58:$H$59,2,FALSE),0)</f>
        <v>0</v>
      </c>
      <c r="AO132" s="447">
        <f t="shared" si="1113"/>
        <v>0</v>
      </c>
      <c r="AP132" s="447">
        <f t="shared" si="1114"/>
        <v>0</v>
      </c>
      <c r="AQ132" s="446">
        <f>IFERROR(HLOOKUP(HLOOKUP(AQ$17,$V$18:$AE132,COUNTA($AK$18:$AK132),FALSE),Inputs!$B$58:$H$59,2,FALSE),0)</f>
        <v>0</v>
      </c>
      <c r="AR132" s="447">
        <f t="shared" ref="AR132" si="1636">2*$AK132*AQ132*$AL132/100*$AM132</f>
        <v>0</v>
      </c>
      <c r="AS132" s="447">
        <f t="shared" si="1116"/>
        <v>0</v>
      </c>
      <c r="AT132" s="446">
        <f>IFERROR(HLOOKUP(HLOOKUP(AT$17,$V$18:$AE132,COUNTA($AK$18:$AK132),FALSE),Inputs!$B$58:$H$59,2,FALSE),0)</f>
        <v>0</v>
      </c>
      <c r="AU132" s="447">
        <f t="shared" ref="AU132" si="1637">2*$AK132*AT132*$AL132/100*$AM132</f>
        <v>0</v>
      </c>
      <c r="AV132" s="447">
        <f t="shared" si="1118"/>
        <v>0</v>
      </c>
      <c r="AW132" s="446">
        <f>IFERROR(HLOOKUP(HLOOKUP(AW$17,$V$18:$AE132,COUNTA($AK$18:$AK132),FALSE),Inputs!$B$58:$H$59,2,FALSE),0)</f>
        <v>0</v>
      </c>
      <c r="AX132" s="447">
        <f t="shared" ref="AX132" si="1638">2*$AK132*AW132*$AL132/100*$AM132</f>
        <v>0</v>
      </c>
      <c r="AY132" s="447">
        <f t="shared" si="1120"/>
        <v>0</v>
      </c>
      <c r="AZ132" s="446">
        <f>IFERROR(HLOOKUP(HLOOKUP(AZ$17,$V$18:$AE132,COUNTA($AK$18:$AK132),FALSE),Inputs!$B$58:$H$59,2,FALSE),0)</f>
        <v>0</v>
      </c>
      <c r="BA132" s="447">
        <f t="shared" ref="BA132" si="1639">2*$AK132*AZ132*$AL132/100*$AM132</f>
        <v>0</v>
      </c>
      <c r="BB132" s="447">
        <f t="shared" si="1122"/>
        <v>0</v>
      </c>
      <c r="BC132" s="446">
        <f>IFERROR(HLOOKUP(HLOOKUP(BC$17,$V$18:$AE132,COUNTA($AK$18:$AK132),FALSE),Inputs!$B$58:$H$59,2,FALSE),0)</f>
        <v>0</v>
      </c>
      <c r="BD132" s="447">
        <f t="shared" ref="BD132" si="1640">2*$AK132*BC132*$AL132/100*$AM132</f>
        <v>0</v>
      </c>
      <c r="BE132" s="447">
        <f t="shared" si="1124"/>
        <v>0</v>
      </c>
      <c r="BF132" s="446">
        <f>IFERROR(HLOOKUP(HLOOKUP(BF$17,$V$18:$AE132,COUNTA($AK$18:$AK132),FALSE),Inputs!$B$58:$H$59,2,FALSE),0)</f>
        <v>0</v>
      </c>
      <c r="BG132" s="447">
        <f t="shared" ref="BG132" si="1641">2*$AK132*BF132*$AL132/100*$AM132</f>
        <v>0</v>
      </c>
      <c r="BH132" s="447">
        <f t="shared" si="1126"/>
        <v>0</v>
      </c>
      <c r="BI132" s="446">
        <f>IFERROR(HLOOKUP(HLOOKUP(BI$17,$V$18:$AE132,COUNTA($AK$18:$AK132),FALSE),Inputs!$B$58:$H$59,2,FALSE),0)</f>
        <v>0</v>
      </c>
      <c r="BJ132" s="447">
        <f t="shared" ref="BJ132" si="1642">2*$AK132*BI132*$AL132/100*$AM132</f>
        <v>0</v>
      </c>
      <c r="BK132" s="447">
        <f t="shared" si="1128"/>
        <v>0</v>
      </c>
      <c r="BL132" s="446">
        <f>IFERROR(HLOOKUP(HLOOKUP(BL$17,$V$18:$AE132,COUNTA($AK$18:$AK132),FALSE),Inputs!$B$58:$H$59,2,FALSE),0)</f>
        <v>0</v>
      </c>
      <c r="BM132" s="447">
        <f t="shared" ref="BM132" si="1643">2*$AK132*BL132*$AL132/100*$AM132</f>
        <v>0</v>
      </c>
      <c r="BN132" s="447">
        <f t="shared" si="1130"/>
        <v>0</v>
      </c>
      <c r="BO132" s="446">
        <f>IFERROR(HLOOKUP(HLOOKUP(BO$17,$V$18:$AE132,COUNTA($AK$18:$AK132),FALSE),Inputs!$B$58:$H$59,2,FALSE),0)</f>
        <v>0</v>
      </c>
      <c r="BP132" s="447">
        <f t="shared" ref="BP132" si="1644">2*$AK132*BO132*$AL132/100*$AM132</f>
        <v>0</v>
      </c>
      <c r="BQ132" s="447">
        <f t="shared" si="1132"/>
        <v>0</v>
      </c>
      <c r="BR132" s="54"/>
      <c r="BS132" s="103">
        <f t="shared" ca="1" si="1203"/>
        <v>82.630892017079418</v>
      </c>
      <c r="BT132" s="103">
        <f t="shared" ca="1" si="1204"/>
        <v>0</v>
      </c>
      <c r="BU132" s="103">
        <f t="shared" si="1205"/>
        <v>0</v>
      </c>
      <c r="BV132" s="103">
        <f t="shared" si="1206"/>
        <v>0</v>
      </c>
      <c r="BW132" s="152">
        <f t="shared" ca="1" si="1207"/>
        <v>82.630892017079418</v>
      </c>
      <c r="BX132" s="441"/>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188">
        <f t="shared" si="1133"/>
        <v>0.21999999999999975</v>
      </c>
      <c r="DE132" s="188">
        <f t="shared" si="1134"/>
        <v>-0.3</v>
      </c>
      <c r="DF132" s="188">
        <f t="shared" si="1135"/>
        <v>-0.3</v>
      </c>
      <c r="DG132" s="188">
        <f t="shared" si="1136"/>
        <v>-0.3</v>
      </c>
      <c r="DH132" s="188">
        <f t="shared" si="1137"/>
        <v>-0.3</v>
      </c>
      <c r="DI132" s="188">
        <f t="shared" si="1138"/>
        <v>-0.3</v>
      </c>
      <c r="DJ132" s="188">
        <f t="shared" si="1139"/>
        <v>-0.3</v>
      </c>
      <c r="DK132" s="188">
        <f t="shared" si="1140"/>
        <v>-0.3</v>
      </c>
      <c r="DL132" s="188">
        <f t="shared" si="1141"/>
        <v>-0.3</v>
      </c>
      <c r="DM132" s="188">
        <f t="shared" si="1142"/>
        <v>-0.3</v>
      </c>
      <c r="DN132" s="189">
        <f t="shared" si="1143"/>
        <v>1.7000000000000002</v>
      </c>
      <c r="DO132" s="189">
        <f t="shared" si="1144"/>
        <v>0.70000000000000018</v>
      </c>
      <c r="DP132" s="189">
        <f t="shared" si="1145"/>
        <v>0.40000000000000036</v>
      </c>
      <c r="DQ132" s="189">
        <f t="shared" si="1146"/>
        <v>0.10000000000000053</v>
      </c>
      <c r="DR132" s="189">
        <f t="shared" si="1147"/>
        <v>0</v>
      </c>
      <c r="DS132" s="189">
        <f t="shared" si="1148"/>
        <v>0</v>
      </c>
      <c r="DT132" s="189">
        <f t="shared" si="1149"/>
        <v>0</v>
      </c>
      <c r="DU132" s="189">
        <f t="shared" si="1150"/>
        <v>0</v>
      </c>
      <c r="DV132" s="189">
        <f t="shared" si="1151"/>
        <v>0</v>
      </c>
      <c r="DW132" s="189">
        <f t="shared" si="1152"/>
        <v>0</v>
      </c>
      <c r="DX132" s="54"/>
      <c r="DY132" s="54"/>
      <c r="DZ132" s="199">
        <f t="shared" ca="1" si="1463"/>
        <v>83046.122630230573</v>
      </c>
      <c r="EA132" s="200">
        <f t="shared" si="1153"/>
        <v>1</v>
      </c>
      <c r="EB132" s="201">
        <f t="shared" ca="1" si="1464"/>
        <v>0</v>
      </c>
      <c r="EC132" s="200">
        <f t="shared" si="1154"/>
        <v>1</v>
      </c>
      <c r="ED132" s="201" cm="1">
        <f t="array" ref="ED132">IF(LEFT($AG132,3)="Res",IF(OR($DN132&gt;External_Threshold,$DD132&gt;0),1*Uplift*AWE*(External),0),0)</f>
        <v>0</v>
      </c>
      <c r="EE132" s="200">
        <f t="shared" si="1155"/>
        <v>1</v>
      </c>
      <c r="EF132" s="201">
        <f t="shared" si="1465"/>
        <v>0</v>
      </c>
      <c r="EG132" s="203">
        <f t="shared" si="1156"/>
        <v>0</v>
      </c>
      <c r="EH132" s="199">
        <f t="shared" ca="1" si="1466"/>
        <v>0</v>
      </c>
      <c r="EI132" s="200">
        <f t="shared" si="1059"/>
        <v>0</v>
      </c>
      <c r="EJ132" s="201">
        <f t="shared" ca="1" si="1467"/>
        <v>0</v>
      </c>
      <c r="EK132" s="200">
        <f t="shared" si="1061"/>
        <v>0</v>
      </c>
      <c r="EL132" s="201" cm="1">
        <f t="array" ref="EL132">IF(LEFT($AG132,3)="Res",IF(OR($DO132&gt;External_Threshold,$DE132&gt;0),1*Uplift*AWE*(External),0),0)</f>
        <v>0</v>
      </c>
      <c r="EM132" s="200">
        <f t="shared" si="1062"/>
        <v>1</v>
      </c>
      <c r="EN132" s="201">
        <f t="shared" si="1468"/>
        <v>0</v>
      </c>
      <c r="EO132" s="203">
        <f t="shared" si="1157"/>
        <v>0</v>
      </c>
      <c r="EP132" s="199">
        <f t="shared" ca="1" si="1469"/>
        <v>0</v>
      </c>
      <c r="EQ132" s="200">
        <f t="shared" si="1065"/>
        <v>0</v>
      </c>
      <c r="ER132" s="201">
        <f t="shared" ca="1" si="1470"/>
        <v>0</v>
      </c>
      <c r="ES132" s="200">
        <f t="shared" si="1067"/>
        <v>0</v>
      </c>
      <c r="ET132" s="201" cm="1">
        <f t="array" ref="ET132">IF(LEFT($AG132,3)="Res",IF(OR($DP132&gt;External_Threshold,$DF132&gt;0),1*Uplift*AWE*(External),0),0)</f>
        <v>0</v>
      </c>
      <c r="EU132" s="200">
        <f t="shared" si="1068"/>
        <v>1</v>
      </c>
      <c r="EV132" s="201">
        <f t="shared" si="1471"/>
        <v>0</v>
      </c>
      <c r="EW132" s="203">
        <f t="shared" si="1158"/>
        <v>0</v>
      </c>
      <c r="EX132" s="199">
        <f t="shared" ca="1" si="1472"/>
        <v>0</v>
      </c>
      <c r="EY132" s="200">
        <f t="shared" si="1071"/>
        <v>0</v>
      </c>
      <c r="EZ132" s="201">
        <f t="shared" ca="1" si="1473"/>
        <v>0</v>
      </c>
      <c r="FA132" s="200">
        <f t="shared" si="1073"/>
        <v>0</v>
      </c>
      <c r="FB132" s="201" cm="1">
        <f t="array" ref="FB132">IF(LEFT($AG132,3)="Res",IF(OR($DQ132&gt;External_Threshold,$DG132&gt;0),1*Uplift*AWE*(External),0),0)</f>
        <v>0</v>
      </c>
      <c r="FC132" s="200">
        <f t="shared" si="1074"/>
        <v>1</v>
      </c>
      <c r="FD132" s="201">
        <f t="shared" si="1075"/>
        <v>0</v>
      </c>
      <c r="FE132" s="203">
        <f t="shared" si="1159"/>
        <v>0</v>
      </c>
      <c r="FF132" s="199">
        <f t="shared" ca="1" si="1474"/>
        <v>0</v>
      </c>
      <c r="FG132" s="200">
        <f t="shared" si="1077"/>
        <v>0</v>
      </c>
      <c r="FH132" s="201">
        <f t="shared" ca="1" si="1475"/>
        <v>0</v>
      </c>
      <c r="FI132" s="200">
        <f t="shared" si="1079"/>
        <v>0</v>
      </c>
      <c r="FJ132" s="201" cm="1">
        <f t="array" ref="FJ132">IF(LEFT($AG132,3)="Res",IF(OR($DR132&gt;External_Threshold,$DH132&gt;0),1*Uplift*AWE*(External),0),0)</f>
        <v>0</v>
      </c>
      <c r="FK132" s="200">
        <f t="shared" si="1080"/>
        <v>0</v>
      </c>
      <c r="FL132" s="201">
        <f t="shared" si="1476"/>
        <v>0</v>
      </c>
      <c r="FM132" s="203">
        <f t="shared" si="1160"/>
        <v>0</v>
      </c>
      <c r="FN132" s="199">
        <f t="shared" ca="1" si="1477"/>
        <v>0</v>
      </c>
      <c r="FO132" s="200">
        <f t="shared" si="1083"/>
        <v>0</v>
      </c>
      <c r="FP132" s="201">
        <f t="shared" ca="1" si="1478"/>
        <v>0</v>
      </c>
      <c r="FQ132" s="200">
        <f t="shared" si="1085"/>
        <v>0</v>
      </c>
      <c r="FR132" s="201" cm="1">
        <f t="array" ref="FR132">IF(LEFT($AG132,3)="Res",IF(OR($DS132&gt;External_Threshold,$DI132&gt;0),1*Uplift*AWE*(External),0),0)</f>
        <v>0</v>
      </c>
      <c r="FS132" s="200">
        <f t="shared" si="1086"/>
        <v>0</v>
      </c>
      <c r="FT132" s="201">
        <f t="shared" si="1479"/>
        <v>0</v>
      </c>
      <c r="FU132" s="203">
        <f t="shared" si="1161"/>
        <v>0</v>
      </c>
      <c r="FV132" s="199">
        <f t="shared" ca="1" si="1480"/>
        <v>0</v>
      </c>
      <c r="FW132" s="200">
        <f t="shared" si="1089"/>
        <v>0</v>
      </c>
      <c r="FX132" s="201">
        <f t="shared" ca="1" si="1481"/>
        <v>0</v>
      </c>
      <c r="FY132" s="200">
        <f t="shared" si="1091"/>
        <v>0</v>
      </c>
      <c r="FZ132" s="201" cm="1">
        <f t="array" ref="FZ132">IF(LEFT($AG132,3)="Res",IF(OR($DT132&gt;External_Threshold,$DJ132&gt;0),1*Uplift*AWE*(External),0),0)</f>
        <v>0</v>
      </c>
      <c r="GA132" s="200">
        <f t="shared" si="1092"/>
        <v>0</v>
      </c>
      <c r="GB132" s="201">
        <f t="shared" si="1482"/>
        <v>0</v>
      </c>
      <c r="GC132" s="203">
        <f t="shared" si="1162"/>
        <v>0</v>
      </c>
      <c r="GD132" s="199">
        <f t="shared" ca="1" si="1483"/>
        <v>0</v>
      </c>
      <c r="GE132" s="200">
        <f t="shared" si="1095"/>
        <v>0</v>
      </c>
      <c r="GF132" s="201">
        <f t="shared" ca="1" si="1484"/>
        <v>0</v>
      </c>
      <c r="GG132" s="200">
        <f t="shared" si="1097"/>
        <v>0</v>
      </c>
      <c r="GH132" s="201" cm="1">
        <f t="array" ref="GH132">IF(LEFT($AG132,3)="Res",IF(OR($DU132&gt;External_Threshold,$DK132&gt;0),1*Uplift*AWE*(External),0),0)</f>
        <v>0</v>
      </c>
      <c r="GI132" s="200">
        <f t="shared" si="1098"/>
        <v>0</v>
      </c>
      <c r="GJ132" s="201">
        <f t="shared" si="1485"/>
        <v>0</v>
      </c>
      <c r="GK132" s="203">
        <f t="shared" si="1163"/>
        <v>0</v>
      </c>
      <c r="GL132" s="199">
        <f t="shared" ca="1" si="1486"/>
        <v>0</v>
      </c>
      <c r="GM132" s="200">
        <f t="shared" si="1101"/>
        <v>0</v>
      </c>
      <c r="GN132" s="201">
        <f t="shared" ca="1" si="1487"/>
        <v>0</v>
      </c>
      <c r="GO132" s="200">
        <f t="shared" si="1103"/>
        <v>0</v>
      </c>
      <c r="GP132" s="201" cm="1">
        <f t="array" ref="GP132">IF(LEFT($AG132,3)="Res",IF(OR($DV132&gt;External_Threshold,$DL132&gt;0),1*Uplift*AWE*(External),0),0)</f>
        <v>0</v>
      </c>
      <c r="GQ132" s="200">
        <f t="shared" si="1104"/>
        <v>0</v>
      </c>
      <c r="GR132" s="201">
        <f t="shared" si="1488"/>
        <v>0</v>
      </c>
      <c r="GS132" s="203">
        <f t="shared" si="1164"/>
        <v>0</v>
      </c>
      <c r="GT132" s="199">
        <f t="shared" ca="1" si="1489"/>
        <v>0</v>
      </c>
      <c r="GU132" s="200">
        <f t="shared" si="1107"/>
        <v>0</v>
      </c>
      <c r="GV132" s="201">
        <f t="shared" ca="1" si="1490"/>
        <v>0</v>
      </c>
      <c r="GW132" s="200">
        <f t="shared" si="1109"/>
        <v>0</v>
      </c>
      <c r="GX132" s="201" cm="1">
        <f t="array" ref="GX132">IF(LEFT($AG132,3)="Res",IF(OR($DW132&gt;External_Threshold,$DM132&gt;0),1*Uplift*AWE*(External),0),0)</f>
        <v>0</v>
      </c>
      <c r="GY132" s="200">
        <f t="shared" si="1110"/>
        <v>0</v>
      </c>
      <c r="GZ132" s="201">
        <f t="shared" si="1491"/>
        <v>0</v>
      </c>
      <c r="HA132" s="203">
        <f t="shared" si="1165"/>
        <v>0</v>
      </c>
      <c r="HB132" s="54"/>
      <c r="HC132" s="54"/>
      <c r="HD132" s="54"/>
      <c r="HE132" s="54"/>
      <c r="HF132" s="54"/>
      <c r="HG132" s="201">
        <f t="shared" ca="1" si="1166"/>
        <v>83046.122630230573</v>
      </c>
      <c r="HH132" s="201">
        <f t="shared" ca="1" si="1167"/>
        <v>0</v>
      </c>
      <c r="HI132" s="201">
        <f t="shared" ca="1" si="1168"/>
        <v>0</v>
      </c>
      <c r="HJ132" s="201">
        <f t="shared" ca="1" si="1169"/>
        <v>0</v>
      </c>
      <c r="HK132" s="201">
        <f t="shared" ca="1" si="1170"/>
        <v>0</v>
      </c>
      <c r="HL132" s="201">
        <f t="shared" ca="1" si="1171"/>
        <v>0</v>
      </c>
      <c r="HM132" s="201">
        <f t="shared" ca="1" si="1172"/>
        <v>0</v>
      </c>
      <c r="HN132" s="201">
        <f t="shared" ca="1" si="1173"/>
        <v>0</v>
      </c>
      <c r="HO132" s="201">
        <f t="shared" ca="1" si="1174"/>
        <v>0</v>
      </c>
      <c r="HP132" s="201">
        <f t="shared" ca="1" si="1175"/>
        <v>0</v>
      </c>
      <c r="HQ132" s="54"/>
    </row>
    <row r="133" spans="1:225" x14ac:dyDescent="0.3">
      <c r="A133" s="513">
        <v>115</v>
      </c>
      <c r="B133" s="514" t="s">
        <v>538</v>
      </c>
      <c r="C133" s="514" t="s">
        <v>390</v>
      </c>
      <c r="D133" s="514" t="s">
        <v>390</v>
      </c>
      <c r="E133" s="513">
        <v>0</v>
      </c>
      <c r="F133" s="515">
        <v>4.95</v>
      </c>
      <c r="G133" s="515">
        <v>5.7</v>
      </c>
      <c r="H133" s="513">
        <v>8</v>
      </c>
      <c r="I133" s="517">
        <v>1</v>
      </c>
      <c r="J133" s="518" t="s">
        <v>42</v>
      </c>
      <c r="K133" s="513">
        <f t="shared" si="1452"/>
        <v>90</v>
      </c>
      <c r="L133" s="519">
        <v>7.5</v>
      </c>
      <c r="M133" s="519">
        <v>6.5</v>
      </c>
      <c r="N133" s="519">
        <v>6.2</v>
      </c>
      <c r="O133" s="519">
        <v>5.9</v>
      </c>
      <c r="P133" s="519">
        <v>5.46</v>
      </c>
      <c r="Q133" s="519">
        <v>5</v>
      </c>
      <c r="R133" s="519">
        <v>4.2</v>
      </c>
      <c r="S133" s="519">
        <v>0</v>
      </c>
      <c r="T133" s="519">
        <v>0</v>
      </c>
      <c r="U133" s="519">
        <v>0</v>
      </c>
      <c r="V133" s="536"/>
      <c r="W133" s="536"/>
      <c r="X133" s="536"/>
      <c r="Y133" s="536"/>
      <c r="Z133" s="536"/>
      <c r="AA133" s="536"/>
      <c r="AB133" s="536"/>
      <c r="AC133" s="536"/>
      <c r="AD133" s="536"/>
      <c r="AE133" s="536"/>
      <c r="AF133" s="54"/>
      <c r="AG133" s="204" t="str">
        <f t="shared" si="1253"/>
        <v>Com1</v>
      </c>
      <c r="AH133" s="204">
        <f t="shared" si="1112"/>
        <v>5</v>
      </c>
      <c r="AI133" s="204">
        <f t="shared" si="1453"/>
        <v>1</v>
      </c>
      <c r="AJ133" s="54"/>
      <c r="AK133" s="74">
        <f>IFERROR(IF(H133&gt;4,0,AI133*Inputs!$C$55),0)</f>
        <v>0</v>
      </c>
      <c r="AL133" s="81">
        <f>IFERROR(Inputs!$C$73,0)</f>
        <v>5</v>
      </c>
      <c r="AM133" s="211">
        <f>IFERROR(Inputs!$C$74,0)</f>
        <v>0.24299999999999999</v>
      </c>
      <c r="AN133" s="446">
        <f>IFERROR(HLOOKUP(HLOOKUP(AN$17,$V$18:$AE133,COUNTA($AK$18:$AK133),FALSE),Inputs!$B$58:$H$59,2,FALSE),0)</f>
        <v>0</v>
      </c>
      <c r="AO133" s="447">
        <f t="shared" si="1113"/>
        <v>0</v>
      </c>
      <c r="AP133" s="447">
        <f t="shared" si="1114"/>
        <v>0</v>
      </c>
      <c r="AQ133" s="446">
        <f>IFERROR(HLOOKUP(HLOOKUP(AQ$17,$V$18:$AE133,COUNTA($AK$18:$AK133),FALSE),Inputs!$B$58:$H$59,2,FALSE),0)</f>
        <v>0</v>
      </c>
      <c r="AR133" s="447">
        <f t="shared" ref="AR133" si="1645">2*$AK133*AQ133*$AL133/100*$AM133</f>
        <v>0</v>
      </c>
      <c r="AS133" s="447">
        <f t="shared" si="1116"/>
        <v>0</v>
      </c>
      <c r="AT133" s="446">
        <f>IFERROR(HLOOKUP(HLOOKUP(AT$17,$V$18:$AE133,COUNTA($AK$18:$AK133),FALSE),Inputs!$B$58:$H$59,2,FALSE),0)</f>
        <v>0</v>
      </c>
      <c r="AU133" s="447">
        <f t="shared" ref="AU133" si="1646">2*$AK133*AT133*$AL133/100*$AM133</f>
        <v>0</v>
      </c>
      <c r="AV133" s="447">
        <f t="shared" si="1118"/>
        <v>0</v>
      </c>
      <c r="AW133" s="446">
        <f>IFERROR(HLOOKUP(HLOOKUP(AW$17,$V$18:$AE133,COUNTA($AK$18:$AK133),FALSE),Inputs!$B$58:$H$59,2,FALSE),0)</f>
        <v>0</v>
      </c>
      <c r="AX133" s="447">
        <f t="shared" ref="AX133" si="1647">2*$AK133*AW133*$AL133/100*$AM133</f>
        <v>0</v>
      </c>
      <c r="AY133" s="447">
        <f t="shared" si="1120"/>
        <v>0</v>
      </c>
      <c r="AZ133" s="446">
        <f>IFERROR(HLOOKUP(HLOOKUP(AZ$17,$V$18:$AE133,COUNTA($AK$18:$AK133),FALSE),Inputs!$B$58:$H$59,2,FALSE),0)</f>
        <v>0</v>
      </c>
      <c r="BA133" s="447">
        <f t="shared" ref="BA133" si="1648">2*$AK133*AZ133*$AL133/100*$AM133</f>
        <v>0</v>
      </c>
      <c r="BB133" s="447">
        <f t="shared" si="1122"/>
        <v>0</v>
      </c>
      <c r="BC133" s="446">
        <f>IFERROR(HLOOKUP(HLOOKUP(BC$17,$V$18:$AE133,COUNTA($AK$18:$AK133),FALSE),Inputs!$B$58:$H$59,2,FALSE),0)</f>
        <v>0</v>
      </c>
      <c r="BD133" s="447">
        <f t="shared" ref="BD133" si="1649">2*$AK133*BC133*$AL133/100*$AM133</f>
        <v>0</v>
      </c>
      <c r="BE133" s="447">
        <f t="shared" si="1124"/>
        <v>0</v>
      </c>
      <c r="BF133" s="446">
        <f>IFERROR(HLOOKUP(HLOOKUP(BF$17,$V$18:$AE133,COUNTA($AK$18:$AK133),FALSE),Inputs!$B$58:$H$59,2,FALSE),0)</f>
        <v>0</v>
      </c>
      <c r="BG133" s="447">
        <f t="shared" ref="BG133" si="1650">2*$AK133*BF133*$AL133/100*$AM133</f>
        <v>0</v>
      </c>
      <c r="BH133" s="447">
        <f t="shared" si="1126"/>
        <v>0</v>
      </c>
      <c r="BI133" s="446">
        <f>IFERROR(HLOOKUP(HLOOKUP(BI$17,$V$18:$AE133,COUNTA($AK$18:$AK133),FALSE),Inputs!$B$58:$H$59,2,FALSE),0)</f>
        <v>0</v>
      </c>
      <c r="BJ133" s="447">
        <f t="shared" ref="BJ133" si="1651">2*$AK133*BI133*$AL133/100*$AM133</f>
        <v>0</v>
      </c>
      <c r="BK133" s="447">
        <f t="shared" si="1128"/>
        <v>0</v>
      </c>
      <c r="BL133" s="446">
        <f>IFERROR(HLOOKUP(HLOOKUP(BL$17,$V$18:$AE133,COUNTA($AK$18:$AK133),FALSE),Inputs!$B$58:$H$59,2,FALSE),0)</f>
        <v>0</v>
      </c>
      <c r="BM133" s="447">
        <f t="shared" ref="BM133" si="1652">2*$AK133*BL133*$AL133/100*$AM133</f>
        <v>0</v>
      </c>
      <c r="BN133" s="447">
        <f t="shared" si="1130"/>
        <v>0</v>
      </c>
      <c r="BO133" s="446">
        <f>IFERROR(HLOOKUP(HLOOKUP(BO$17,$V$18:$AE133,COUNTA($AK$18:$AK133),FALSE),Inputs!$B$58:$H$59,2,FALSE),0)</f>
        <v>0</v>
      </c>
      <c r="BP133" s="447">
        <f t="shared" ref="BP133" si="1653">2*$AK133*BO133*$AL133/100*$AM133</f>
        <v>0</v>
      </c>
      <c r="BQ133" s="447">
        <f t="shared" si="1132"/>
        <v>0</v>
      </c>
      <c r="BR133" s="54"/>
      <c r="BS133" s="103">
        <f t="shared" ca="1" si="1203"/>
        <v>4396.1080949441048</v>
      </c>
      <c r="BT133" s="103">
        <f t="shared" ca="1" si="1204"/>
        <v>0</v>
      </c>
      <c r="BU133" s="103">
        <f t="shared" si="1205"/>
        <v>0</v>
      </c>
      <c r="BV133" s="103">
        <f t="shared" si="1206"/>
        <v>0</v>
      </c>
      <c r="BW133" s="152">
        <f t="shared" ca="1" si="1207"/>
        <v>4396.1080949441048</v>
      </c>
      <c r="BX133" s="441"/>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188">
        <f t="shared" si="1133"/>
        <v>2.5499999999999998</v>
      </c>
      <c r="DE133" s="188">
        <f t="shared" si="1134"/>
        <v>1.5499999999999998</v>
      </c>
      <c r="DF133" s="188">
        <f t="shared" si="1135"/>
        <v>1.25</v>
      </c>
      <c r="DG133" s="188">
        <f t="shared" si="1136"/>
        <v>0.95000000000000018</v>
      </c>
      <c r="DH133" s="188">
        <f t="shared" si="1137"/>
        <v>0.50999999999999979</v>
      </c>
      <c r="DI133" s="188">
        <f t="shared" si="1138"/>
        <v>4.9999999999999822E-2</v>
      </c>
      <c r="DJ133" s="188">
        <f t="shared" si="1139"/>
        <v>-0.3</v>
      </c>
      <c r="DK133" s="188">
        <f t="shared" si="1140"/>
        <v>-0.3</v>
      </c>
      <c r="DL133" s="188">
        <f t="shared" si="1141"/>
        <v>-0.3</v>
      </c>
      <c r="DM133" s="188">
        <f t="shared" si="1142"/>
        <v>-0.3</v>
      </c>
      <c r="DN133" s="189">
        <f t="shared" si="1143"/>
        <v>1.7999999999999998</v>
      </c>
      <c r="DO133" s="189">
        <f t="shared" si="1144"/>
        <v>0.79999999999999982</v>
      </c>
      <c r="DP133" s="189">
        <f t="shared" si="1145"/>
        <v>0.5</v>
      </c>
      <c r="DQ133" s="189">
        <f t="shared" si="1146"/>
        <v>0.20000000000000018</v>
      </c>
      <c r="DR133" s="189">
        <f t="shared" si="1147"/>
        <v>0</v>
      </c>
      <c r="DS133" s="189">
        <f t="shared" si="1148"/>
        <v>0</v>
      </c>
      <c r="DT133" s="189">
        <f t="shared" si="1149"/>
        <v>0</v>
      </c>
      <c r="DU133" s="189">
        <f t="shared" si="1150"/>
        <v>0</v>
      </c>
      <c r="DV133" s="189">
        <f t="shared" si="1151"/>
        <v>0</v>
      </c>
      <c r="DW133" s="189">
        <f t="shared" si="1152"/>
        <v>0</v>
      </c>
      <c r="DX133" s="54"/>
      <c r="DY133" s="54"/>
      <c r="DZ133" s="199">
        <f t="shared" ca="1" si="1463"/>
        <v>197356.56099681702</v>
      </c>
      <c r="EA133" s="200">
        <f t="shared" si="1153"/>
        <v>1</v>
      </c>
      <c r="EB133" s="201">
        <f t="shared" ca="1" si="1464"/>
        <v>0</v>
      </c>
      <c r="EC133" s="200">
        <f t="shared" si="1154"/>
        <v>1</v>
      </c>
      <c r="ED133" s="201" cm="1">
        <f t="array" ref="ED133">IF(LEFT($AG133,3)="Res",IF(OR($DN133&gt;External_Threshold,$DD133&gt;0),1*Uplift*AWE*(External),0),0)</f>
        <v>0</v>
      </c>
      <c r="EE133" s="200">
        <f t="shared" si="1155"/>
        <v>1</v>
      </c>
      <c r="EF133" s="201">
        <f t="shared" si="1465"/>
        <v>0</v>
      </c>
      <c r="EG133" s="203">
        <f t="shared" si="1156"/>
        <v>0</v>
      </c>
      <c r="EH133" s="199">
        <f t="shared" ca="1" si="1466"/>
        <v>174491.63751261547</v>
      </c>
      <c r="EI133" s="200">
        <f t="shared" si="1059"/>
        <v>1</v>
      </c>
      <c r="EJ133" s="201">
        <f t="shared" ca="1" si="1467"/>
        <v>0</v>
      </c>
      <c r="EK133" s="200">
        <f t="shared" si="1061"/>
        <v>1</v>
      </c>
      <c r="EL133" s="201" cm="1">
        <f t="array" ref="EL133">IF(LEFT($AG133,3)="Res",IF(OR($DO133&gt;External_Threshold,$DE133&gt;0),1*Uplift*AWE*(External),0),0)</f>
        <v>0</v>
      </c>
      <c r="EM133" s="200">
        <f t="shared" si="1062"/>
        <v>1</v>
      </c>
      <c r="EN133" s="201">
        <f t="shared" si="1468"/>
        <v>0</v>
      </c>
      <c r="EO133" s="203">
        <f t="shared" si="1157"/>
        <v>0</v>
      </c>
      <c r="EP133" s="199">
        <f t="shared" ca="1" si="1469"/>
        <v>162569.84861423806</v>
      </c>
      <c r="EQ133" s="200">
        <f t="shared" si="1065"/>
        <v>1</v>
      </c>
      <c r="ER133" s="201">
        <f t="shared" ca="1" si="1470"/>
        <v>0</v>
      </c>
      <c r="ES133" s="200">
        <f t="shared" si="1067"/>
        <v>1</v>
      </c>
      <c r="ET133" s="201" cm="1">
        <f t="array" ref="ET133">IF(LEFT($AG133,3)="Res",IF(OR($DP133&gt;External_Threshold,$DF133&gt;0),1*Uplift*AWE*(External),0),0)</f>
        <v>0</v>
      </c>
      <c r="EU133" s="200">
        <f t="shared" si="1068"/>
        <v>1</v>
      </c>
      <c r="EV133" s="201">
        <f t="shared" si="1471"/>
        <v>0</v>
      </c>
      <c r="EW133" s="203">
        <f t="shared" si="1158"/>
        <v>0</v>
      </c>
      <c r="EX133" s="199">
        <f t="shared" ca="1" si="1472"/>
        <v>129910.2939523329</v>
      </c>
      <c r="EY133" s="200">
        <f t="shared" si="1071"/>
        <v>1</v>
      </c>
      <c r="EZ133" s="201">
        <f t="shared" ca="1" si="1473"/>
        <v>0</v>
      </c>
      <c r="FA133" s="200">
        <f t="shared" si="1073"/>
        <v>1</v>
      </c>
      <c r="FB133" s="201" cm="1">
        <f t="array" ref="FB133">IF(LEFT($AG133,3)="Res",IF(OR($DQ133&gt;External_Threshold,$DG133&gt;0),1*Uplift*AWE*(External),0),0)</f>
        <v>0</v>
      </c>
      <c r="FC133" s="200">
        <f t="shared" si="1074"/>
        <v>1</v>
      </c>
      <c r="FD133" s="201">
        <f t="shared" si="1075"/>
        <v>0</v>
      </c>
      <c r="FE133" s="203">
        <f t="shared" si="1159"/>
        <v>0</v>
      </c>
      <c r="FF133" s="199">
        <f t="shared" ca="1" si="1474"/>
        <v>83468.698392981925</v>
      </c>
      <c r="FG133" s="200">
        <f t="shared" si="1077"/>
        <v>1</v>
      </c>
      <c r="FH133" s="201">
        <f t="shared" ca="1" si="1475"/>
        <v>0</v>
      </c>
      <c r="FI133" s="200">
        <f t="shared" si="1079"/>
        <v>1</v>
      </c>
      <c r="FJ133" s="201" cm="1">
        <f t="array" ref="FJ133">IF(LEFT($AG133,3)="Res",IF(OR($DR133&gt;External_Threshold,$DH133&gt;0),1*Uplift*AWE*(External),0),0)</f>
        <v>0</v>
      </c>
      <c r="FK133" s="200">
        <f t="shared" si="1080"/>
        <v>0</v>
      </c>
      <c r="FL133" s="201">
        <f t="shared" si="1476"/>
        <v>0</v>
      </c>
      <c r="FM133" s="203">
        <f t="shared" si="1160"/>
        <v>0</v>
      </c>
      <c r="FN133" s="199">
        <f t="shared" ca="1" si="1477"/>
        <v>11760.027854980204</v>
      </c>
      <c r="FO133" s="200">
        <f t="shared" si="1083"/>
        <v>1</v>
      </c>
      <c r="FP133" s="201">
        <f t="shared" ca="1" si="1478"/>
        <v>0</v>
      </c>
      <c r="FQ133" s="200">
        <f t="shared" si="1085"/>
        <v>1</v>
      </c>
      <c r="FR133" s="201" cm="1">
        <f t="array" ref="FR133">IF(LEFT($AG133,3)="Res",IF(OR($DS133&gt;External_Threshold,$DI133&gt;0),1*Uplift*AWE*(External),0),0)</f>
        <v>0</v>
      </c>
      <c r="FS133" s="200">
        <f t="shared" si="1086"/>
        <v>0</v>
      </c>
      <c r="FT133" s="201">
        <f t="shared" si="1479"/>
        <v>0</v>
      </c>
      <c r="FU133" s="203">
        <f t="shared" si="1161"/>
        <v>0</v>
      </c>
      <c r="FV133" s="199">
        <f t="shared" ca="1" si="1480"/>
        <v>0</v>
      </c>
      <c r="FW133" s="200">
        <f t="shared" si="1089"/>
        <v>0</v>
      </c>
      <c r="FX133" s="201">
        <f t="shared" ca="1" si="1481"/>
        <v>0</v>
      </c>
      <c r="FY133" s="200">
        <f t="shared" si="1091"/>
        <v>0</v>
      </c>
      <c r="FZ133" s="201" cm="1">
        <f t="array" ref="FZ133">IF(LEFT($AG133,3)="Res",IF(OR($DT133&gt;External_Threshold,$DJ133&gt;0),1*Uplift*AWE*(External),0),0)</f>
        <v>0</v>
      </c>
      <c r="GA133" s="200">
        <f t="shared" si="1092"/>
        <v>0</v>
      </c>
      <c r="GB133" s="201">
        <f t="shared" si="1482"/>
        <v>0</v>
      </c>
      <c r="GC133" s="203">
        <f t="shared" si="1162"/>
        <v>0</v>
      </c>
      <c r="GD133" s="199">
        <f t="shared" ca="1" si="1483"/>
        <v>0</v>
      </c>
      <c r="GE133" s="200">
        <f t="shared" si="1095"/>
        <v>0</v>
      </c>
      <c r="GF133" s="201">
        <f t="shared" ca="1" si="1484"/>
        <v>0</v>
      </c>
      <c r="GG133" s="200">
        <f t="shared" si="1097"/>
        <v>0</v>
      </c>
      <c r="GH133" s="201" cm="1">
        <f t="array" ref="GH133">IF(LEFT($AG133,3)="Res",IF(OR($DU133&gt;External_Threshold,$DK133&gt;0),1*Uplift*AWE*(External),0),0)</f>
        <v>0</v>
      </c>
      <c r="GI133" s="200">
        <f t="shared" si="1098"/>
        <v>0</v>
      </c>
      <c r="GJ133" s="201">
        <f t="shared" si="1485"/>
        <v>0</v>
      </c>
      <c r="GK133" s="203">
        <f t="shared" si="1163"/>
        <v>0</v>
      </c>
      <c r="GL133" s="199">
        <f t="shared" ca="1" si="1486"/>
        <v>0</v>
      </c>
      <c r="GM133" s="200">
        <f t="shared" si="1101"/>
        <v>0</v>
      </c>
      <c r="GN133" s="201">
        <f t="shared" ca="1" si="1487"/>
        <v>0</v>
      </c>
      <c r="GO133" s="200">
        <f t="shared" si="1103"/>
        <v>0</v>
      </c>
      <c r="GP133" s="201" cm="1">
        <f t="array" ref="GP133">IF(LEFT($AG133,3)="Res",IF(OR($DV133&gt;External_Threshold,$DL133&gt;0),1*Uplift*AWE*(External),0),0)</f>
        <v>0</v>
      </c>
      <c r="GQ133" s="200">
        <f t="shared" si="1104"/>
        <v>0</v>
      </c>
      <c r="GR133" s="201">
        <f t="shared" si="1488"/>
        <v>0</v>
      </c>
      <c r="GS133" s="203">
        <f t="shared" si="1164"/>
        <v>0</v>
      </c>
      <c r="GT133" s="199">
        <f t="shared" ca="1" si="1489"/>
        <v>0</v>
      </c>
      <c r="GU133" s="200">
        <f t="shared" si="1107"/>
        <v>0</v>
      </c>
      <c r="GV133" s="201">
        <f t="shared" ca="1" si="1490"/>
        <v>0</v>
      </c>
      <c r="GW133" s="200">
        <f t="shared" si="1109"/>
        <v>0</v>
      </c>
      <c r="GX133" s="201" cm="1">
        <f t="array" ref="GX133">IF(LEFT($AG133,3)="Res",IF(OR($DW133&gt;External_Threshold,$DM133&gt;0),1*Uplift*AWE*(External),0),0)</f>
        <v>0</v>
      </c>
      <c r="GY133" s="200">
        <f t="shared" si="1110"/>
        <v>0</v>
      </c>
      <c r="GZ133" s="201">
        <f t="shared" si="1491"/>
        <v>0</v>
      </c>
      <c r="HA133" s="203">
        <f t="shared" si="1165"/>
        <v>0</v>
      </c>
      <c r="HB133" s="54"/>
      <c r="HC133" s="54"/>
      <c r="HD133" s="54"/>
      <c r="HE133" s="54"/>
      <c r="HF133" s="54"/>
      <c r="HG133" s="201">
        <f t="shared" ca="1" si="1166"/>
        <v>197356.56099681702</v>
      </c>
      <c r="HH133" s="201">
        <f t="shared" ca="1" si="1167"/>
        <v>174491.63751261547</v>
      </c>
      <c r="HI133" s="201">
        <f t="shared" ca="1" si="1168"/>
        <v>162569.84861423806</v>
      </c>
      <c r="HJ133" s="201">
        <f t="shared" ca="1" si="1169"/>
        <v>129910.2939523329</v>
      </c>
      <c r="HK133" s="201">
        <f t="shared" ca="1" si="1170"/>
        <v>83468.698392981925</v>
      </c>
      <c r="HL133" s="201">
        <f t="shared" ca="1" si="1171"/>
        <v>11760.027854980204</v>
      </c>
      <c r="HM133" s="201">
        <f t="shared" ca="1" si="1172"/>
        <v>0</v>
      </c>
      <c r="HN133" s="201">
        <f t="shared" ca="1" si="1173"/>
        <v>0</v>
      </c>
      <c r="HO133" s="201">
        <f t="shared" ca="1" si="1174"/>
        <v>0</v>
      </c>
      <c r="HP133" s="201">
        <f t="shared" ca="1" si="1175"/>
        <v>0</v>
      </c>
      <c r="HQ133" s="54"/>
    </row>
    <row r="134" spans="1:225" x14ac:dyDescent="0.3">
      <c r="A134" s="513">
        <v>116</v>
      </c>
      <c r="B134" s="514" t="s">
        <v>539</v>
      </c>
      <c r="C134" s="514" t="s">
        <v>390</v>
      </c>
      <c r="D134" s="514" t="s">
        <v>390</v>
      </c>
      <c r="E134" s="513">
        <v>0</v>
      </c>
      <c r="F134" s="515">
        <v>6.73</v>
      </c>
      <c r="G134" s="515">
        <v>5.6</v>
      </c>
      <c r="H134" s="513">
        <v>5</v>
      </c>
      <c r="I134" s="517">
        <v>1</v>
      </c>
      <c r="J134" s="518" t="s">
        <v>43</v>
      </c>
      <c r="K134" s="513">
        <f t="shared" si="1452"/>
        <v>180</v>
      </c>
      <c r="L134" s="519">
        <v>7.5</v>
      </c>
      <c r="M134" s="519">
        <v>6.5</v>
      </c>
      <c r="N134" s="519">
        <v>6.2</v>
      </c>
      <c r="O134" s="519">
        <v>5.9</v>
      </c>
      <c r="P134" s="519">
        <v>5.46</v>
      </c>
      <c r="Q134" s="519">
        <v>5</v>
      </c>
      <c r="R134" s="519">
        <v>4.2</v>
      </c>
      <c r="S134" s="519">
        <v>0</v>
      </c>
      <c r="T134" s="519">
        <v>0</v>
      </c>
      <c r="U134" s="519">
        <v>0</v>
      </c>
      <c r="V134" s="536"/>
      <c r="W134" s="536"/>
      <c r="X134" s="536"/>
      <c r="Y134" s="536"/>
      <c r="Z134" s="536"/>
      <c r="AA134" s="536"/>
      <c r="AB134" s="536"/>
      <c r="AC134" s="536"/>
      <c r="AD134" s="536"/>
      <c r="AE134" s="536"/>
      <c r="AF134" s="54"/>
      <c r="AG134" s="204" t="str">
        <f t="shared" si="1253"/>
        <v>Com1</v>
      </c>
      <c r="AH134" s="204">
        <f t="shared" si="1112"/>
        <v>2</v>
      </c>
      <c r="AI134" s="204">
        <f t="shared" si="1453"/>
        <v>1</v>
      </c>
      <c r="AJ134" s="54"/>
      <c r="AK134" s="74">
        <f>IFERROR(IF(H134&gt;4,0,AI134*Inputs!$C$55),0)</f>
        <v>0</v>
      </c>
      <c r="AL134" s="81">
        <f>IFERROR(Inputs!$C$73,0)</f>
        <v>5</v>
      </c>
      <c r="AM134" s="211">
        <f>IFERROR(Inputs!$C$74,0)</f>
        <v>0.24299999999999999</v>
      </c>
      <c r="AN134" s="446">
        <f>IFERROR(HLOOKUP(HLOOKUP(AN$17,$V$18:$AE134,COUNTA($AK$18:$AK134),FALSE),Inputs!$B$58:$H$59,2,FALSE),0)</f>
        <v>0</v>
      </c>
      <c r="AO134" s="447">
        <f t="shared" si="1113"/>
        <v>0</v>
      </c>
      <c r="AP134" s="447">
        <f t="shared" si="1114"/>
        <v>0</v>
      </c>
      <c r="AQ134" s="446">
        <f>IFERROR(HLOOKUP(HLOOKUP(AQ$17,$V$18:$AE134,COUNTA($AK$18:$AK134),FALSE),Inputs!$B$58:$H$59,2,FALSE),0)</f>
        <v>0</v>
      </c>
      <c r="AR134" s="447">
        <f t="shared" ref="AR134" si="1654">2*$AK134*AQ134*$AL134/100*$AM134</f>
        <v>0</v>
      </c>
      <c r="AS134" s="447">
        <f t="shared" si="1116"/>
        <v>0</v>
      </c>
      <c r="AT134" s="446">
        <f>IFERROR(HLOOKUP(HLOOKUP(AT$17,$V$18:$AE134,COUNTA($AK$18:$AK134),FALSE),Inputs!$B$58:$H$59,2,FALSE),0)</f>
        <v>0</v>
      </c>
      <c r="AU134" s="447">
        <f t="shared" ref="AU134" si="1655">2*$AK134*AT134*$AL134/100*$AM134</f>
        <v>0</v>
      </c>
      <c r="AV134" s="447">
        <f t="shared" si="1118"/>
        <v>0</v>
      </c>
      <c r="AW134" s="446">
        <f>IFERROR(HLOOKUP(HLOOKUP(AW$17,$V$18:$AE134,COUNTA($AK$18:$AK134),FALSE),Inputs!$B$58:$H$59,2,FALSE),0)</f>
        <v>0</v>
      </c>
      <c r="AX134" s="447">
        <f t="shared" ref="AX134" si="1656">2*$AK134*AW134*$AL134/100*$AM134</f>
        <v>0</v>
      </c>
      <c r="AY134" s="447">
        <f t="shared" si="1120"/>
        <v>0</v>
      </c>
      <c r="AZ134" s="446">
        <f>IFERROR(HLOOKUP(HLOOKUP(AZ$17,$V$18:$AE134,COUNTA($AK$18:$AK134),FALSE),Inputs!$B$58:$H$59,2,FALSE),0)</f>
        <v>0</v>
      </c>
      <c r="BA134" s="447">
        <f t="shared" ref="BA134" si="1657">2*$AK134*AZ134*$AL134/100*$AM134</f>
        <v>0</v>
      </c>
      <c r="BB134" s="447">
        <f t="shared" si="1122"/>
        <v>0</v>
      </c>
      <c r="BC134" s="446">
        <f>IFERROR(HLOOKUP(HLOOKUP(BC$17,$V$18:$AE134,COUNTA($AK$18:$AK134),FALSE),Inputs!$B$58:$H$59,2,FALSE),0)</f>
        <v>0</v>
      </c>
      <c r="BD134" s="447">
        <f t="shared" ref="BD134" si="1658">2*$AK134*BC134*$AL134/100*$AM134</f>
        <v>0</v>
      </c>
      <c r="BE134" s="447">
        <f t="shared" si="1124"/>
        <v>0</v>
      </c>
      <c r="BF134" s="446">
        <f>IFERROR(HLOOKUP(HLOOKUP(BF$17,$V$18:$AE134,COUNTA($AK$18:$AK134),FALSE),Inputs!$B$58:$H$59,2,FALSE),0)</f>
        <v>0</v>
      </c>
      <c r="BG134" s="447">
        <f t="shared" ref="BG134" si="1659">2*$AK134*BF134*$AL134/100*$AM134</f>
        <v>0</v>
      </c>
      <c r="BH134" s="447">
        <f t="shared" si="1126"/>
        <v>0</v>
      </c>
      <c r="BI134" s="446">
        <f>IFERROR(HLOOKUP(HLOOKUP(BI$17,$V$18:$AE134,COUNTA($AK$18:$AK134),FALSE),Inputs!$B$58:$H$59,2,FALSE),0)</f>
        <v>0</v>
      </c>
      <c r="BJ134" s="447">
        <f t="shared" ref="BJ134" si="1660">2*$AK134*BI134*$AL134/100*$AM134</f>
        <v>0</v>
      </c>
      <c r="BK134" s="447">
        <f t="shared" si="1128"/>
        <v>0</v>
      </c>
      <c r="BL134" s="446">
        <f>IFERROR(HLOOKUP(HLOOKUP(BL$17,$V$18:$AE134,COUNTA($AK$18:$AK134),FALSE),Inputs!$B$58:$H$59,2,FALSE),0)</f>
        <v>0</v>
      </c>
      <c r="BM134" s="447">
        <f t="shared" ref="BM134" si="1661">2*$AK134*BL134*$AL134/100*$AM134</f>
        <v>0</v>
      </c>
      <c r="BN134" s="447">
        <f t="shared" si="1130"/>
        <v>0</v>
      </c>
      <c r="BO134" s="446">
        <f>IFERROR(HLOOKUP(HLOOKUP(BO$17,$V$18:$AE134,COUNTA($AK$18:$AK134),FALSE),Inputs!$B$58:$H$59,2,FALSE),0)</f>
        <v>0</v>
      </c>
      <c r="BP134" s="447">
        <f t="shared" ref="BP134" si="1662">2*$AK134*BO134*$AL134/100*$AM134</f>
        <v>0</v>
      </c>
      <c r="BQ134" s="447">
        <f t="shared" si="1132"/>
        <v>0</v>
      </c>
      <c r="BR134" s="54"/>
      <c r="BS134" s="103">
        <f t="shared" ca="1" si="1203"/>
        <v>83.686222062728064</v>
      </c>
      <c r="BT134" s="103">
        <f t="shared" ca="1" si="1204"/>
        <v>0</v>
      </c>
      <c r="BU134" s="103">
        <f t="shared" si="1205"/>
        <v>0</v>
      </c>
      <c r="BV134" s="103">
        <f t="shared" si="1206"/>
        <v>0</v>
      </c>
      <c r="BW134" s="152">
        <f t="shared" ca="1" si="1207"/>
        <v>83.686222062728064</v>
      </c>
      <c r="BX134" s="441"/>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188">
        <f t="shared" si="1133"/>
        <v>0.76999999999999957</v>
      </c>
      <c r="DE134" s="188">
        <f t="shared" si="1134"/>
        <v>-0.23000000000000043</v>
      </c>
      <c r="DF134" s="188">
        <f t="shared" si="1135"/>
        <v>-0.3</v>
      </c>
      <c r="DG134" s="188">
        <f t="shared" si="1136"/>
        <v>-0.3</v>
      </c>
      <c r="DH134" s="188">
        <f t="shared" si="1137"/>
        <v>-0.3</v>
      </c>
      <c r="DI134" s="188">
        <f t="shared" si="1138"/>
        <v>-0.3</v>
      </c>
      <c r="DJ134" s="188">
        <f t="shared" si="1139"/>
        <v>-0.3</v>
      </c>
      <c r="DK134" s="188">
        <f t="shared" si="1140"/>
        <v>-0.3</v>
      </c>
      <c r="DL134" s="188">
        <f t="shared" si="1141"/>
        <v>-0.3</v>
      </c>
      <c r="DM134" s="188">
        <f t="shared" si="1142"/>
        <v>-0.3</v>
      </c>
      <c r="DN134" s="189">
        <f t="shared" si="1143"/>
        <v>1.9000000000000004</v>
      </c>
      <c r="DO134" s="189">
        <f t="shared" si="1144"/>
        <v>0.90000000000000036</v>
      </c>
      <c r="DP134" s="189">
        <f t="shared" si="1145"/>
        <v>0.60000000000000053</v>
      </c>
      <c r="DQ134" s="189">
        <f t="shared" si="1146"/>
        <v>0.30000000000000071</v>
      </c>
      <c r="DR134" s="189">
        <f t="shared" si="1147"/>
        <v>0</v>
      </c>
      <c r="DS134" s="189">
        <f t="shared" si="1148"/>
        <v>0</v>
      </c>
      <c r="DT134" s="189">
        <f t="shared" si="1149"/>
        <v>0</v>
      </c>
      <c r="DU134" s="189">
        <f t="shared" si="1150"/>
        <v>0</v>
      </c>
      <c r="DV134" s="189">
        <f t="shared" si="1151"/>
        <v>0</v>
      </c>
      <c r="DW134" s="189">
        <f t="shared" si="1152"/>
        <v>0</v>
      </c>
      <c r="DX134" s="54"/>
      <c r="DY134" s="54"/>
      <c r="DZ134" s="199">
        <f t="shared" ca="1" si="1463"/>
        <v>84106.755841937746</v>
      </c>
      <c r="EA134" s="200">
        <f t="shared" si="1153"/>
        <v>1</v>
      </c>
      <c r="EB134" s="201">
        <f t="shared" ca="1" si="1464"/>
        <v>0</v>
      </c>
      <c r="EC134" s="200">
        <f t="shared" si="1154"/>
        <v>1</v>
      </c>
      <c r="ED134" s="201" cm="1">
        <f t="array" ref="ED134">IF(LEFT($AG134,3)="Res",IF(OR($DN134&gt;External_Threshold,$DD134&gt;0),1*Uplift*AWE*(External),0),0)</f>
        <v>0</v>
      </c>
      <c r="EE134" s="200">
        <f t="shared" si="1155"/>
        <v>1</v>
      </c>
      <c r="EF134" s="201">
        <f t="shared" si="1465"/>
        <v>0</v>
      </c>
      <c r="EG134" s="203">
        <f t="shared" si="1156"/>
        <v>0</v>
      </c>
      <c r="EH134" s="199">
        <f t="shared" ca="1" si="1466"/>
        <v>0</v>
      </c>
      <c r="EI134" s="200">
        <f t="shared" si="1059"/>
        <v>0</v>
      </c>
      <c r="EJ134" s="201">
        <f t="shared" ca="1" si="1467"/>
        <v>0</v>
      </c>
      <c r="EK134" s="200">
        <f t="shared" si="1061"/>
        <v>0</v>
      </c>
      <c r="EL134" s="201" cm="1">
        <f t="array" ref="EL134">IF(LEFT($AG134,3)="Res",IF(OR($DO134&gt;External_Threshold,$DE134&gt;0),1*Uplift*AWE*(External),0),0)</f>
        <v>0</v>
      </c>
      <c r="EM134" s="200">
        <f t="shared" si="1062"/>
        <v>1</v>
      </c>
      <c r="EN134" s="201">
        <f t="shared" si="1468"/>
        <v>0</v>
      </c>
      <c r="EO134" s="203">
        <f t="shared" si="1157"/>
        <v>0</v>
      </c>
      <c r="EP134" s="199">
        <f t="shared" ca="1" si="1469"/>
        <v>0</v>
      </c>
      <c r="EQ134" s="200">
        <f t="shared" si="1065"/>
        <v>0</v>
      </c>
      <c r="ER134" s="201">
        <f t="shared" ca="1" si="1470"/>
        <v>0</v>
      </c>
      <c r="ES134" s="200">
        <f t="shared" si="1067"/>
        <v>0</v>
      </c>
      <c r="ET134" s="201" cm="1">
        <f t="array" ref="ET134">IF(LEFT($AG134,3)="Res",IF(OR($DP134&gt;External_Threshold,$DF134&gt;0),1*Uplift*AWE*(External),0),0)</f>
        <v>0</v>
      </c>
      <c r="EU134" s="200">
        <f t="shared" si="1068"/>
        <v>1</v>
      </c>
      <c r="EV134" s="201">
        <f t="shared" si="1471"/>
        <v>0</v>
      </c>
      <c r="EW134" s="203">
        <f t="shared" si="1158"/>
        <v>0</v>
      </c>
      <c r="EX134" s="199">
        <f t="shared" ca="1" si="1472"/>
        <v>0</v>
      </c>
      <c r="EY134" s="200">
        <f t="shared" si="1071"/>
        <v>0</v>
      </c>
      <c r="EZ134" s="201">
        <f t="shared" ca="1" si="1473"/>
        <v>0</v>
      </c>
      <c r="FA134" s="200">
        <f t="shared" si="1073"/>
        <v>0</v>
      </c>
      <c r="FB134" s="201" cm="1">
        <f t="array" ref="FB134">IF(LEFT($AG134,3)="Res",IF(OR($DQ134&gt;External_Threshold,$DG134&gt;0),1*Uplift*AWE*(External),0),0)</f>
        <v>0</v>
      </c>
      <c r="FC134" s="200">
        <f t="shared" si="1074"/>
        <v>1</v>
      </c>
      <c r="FD134" s="201">
        <f t="shared" si="1075"/>
        <v>0</v>
      </c>
      <c r="FE134" s="203">
        <f t="shared" si="1159"/>
        <v>0</v>
      </c>
      <c r="FF134" s="199">
        <f t="shared" ca="1" si="1474"/>
        <v>0</v>
      </c>
      <c r="FG134" s="200">
        <f t="shared" si="1077"/>
        <v>0</v>
      </c>
      <c r="FH134" s="201">
        <f t="shared" ca="1" si="1475"/>
        <v>0</v>
      </c>
      <c r="FI134" s="200">
        <f t="shared" si="1079"/>
        <v>0</v>
      </c>
      <c r="FJ134" s="201" cm="1">
        <f t="array" ref="FJ134">IF(LEFT($AG134,3)="Res",IF(OR($DR134&gt;External_Threshold,$DH134&gt;0),1*Uplift*AWE*(External),0),0)</f>
        <v>0</v>
      </c>
      <c r="FK134" s="200">
        <f t="shared" si="1080"/>
        <v>0</v>
      </c>
      <c r="FL134" s="201">
        <f t="shared" si="1476"/>
        <v>0</v>
      </c>
      <c r="FM134" s="203">
        <f t="shared" si="1160"/>
        <v>0</v>
      </c>
      <c r="FN134" s="199">
        <f t="shared" ca="1" si="1477"/>
        <v>0</v>
      </c>
      <c r="FO134" s="200">
        <f t="shared" si="1083"/>
        <v>0</v>
      </c>
      <c r="FP134" s="201">
        <f t="shared" ca="1" si="1478"/>
        <v>0</v>
      </c>
      <c r="FQ134" s="200">
        <f t="shared" si="1085"/>
        <v>0</v>
      </c>
      <c r="FR134" s="201" cm="1">
        <f t="array" ref="FR134">IF(LEFT($AG134,3)="Res",IF(OR($DS134&gt;External_Threshold,$DI134&gt;0),1*Uplift*AWE*(External),0),0)</f>
        <v>0</v>
      </c>
      <c r="FS134" s="200">
        <f t="shared" si="1086"/>
        <v>0</v>
      </c>
      <c r="FT134" s="201">
        <f t="shared" si="1479"/>
        <v>0</v>
      </c>
      <c r="FU134" s="203">
        <f t="shared" si="1161"/>
        <v>0</v>
      </c>
      <c r="FV134" s="199">
        <f t="shared" ca="1" si="1480"/>
        <v>0</v>
      </c>
      <c r="FW134" s="200">
        <f t="shared" si="1089"/>
        <v>0</v>
      </c>
      <c r="FX134" s="201">
        <f t="shared" ca="1" si="1481"/>
        <v>0</v>
      </c>
      <c r="FY134" s="200">
        <f t="shared" si="1091"/>
        <v>0</v>
      </c>
      <c r="FZ134" s="201" cm="1">
        <f t="array" ref="FZ134">IF(LEFT($AG134,3)="Res",IF(OR($DT134&gt;External_Threshold,$DJ134&gt;0),1*Uplift*AWE*(External),0),0)</f>
        <v>0</v>
      </c>
      <c r="GA134" s="200">
        <f t="shared" si="1092"/>
        <v>0</v>
      </c>
      <c r="GB134" s="201">
        <f t="shared" si="1482"/>
        <v>0</v>
      </c>
      <c r="GC134" s="203">
        <f t="shared" si="1162"/>
        <v>0</v>
      </c>
      <c r="GD134" s="199">
        <f t="shared" ca="1" si="1483"/>
        <v>0</v>
      </c>
      <c r="GE134" s="200">
        <f t="shared" si="1095"/>
        <v>0</v>
      </c>
      <c r="GF134" s="201">
        <f t="shared" ca="1" si="1484"/>
        <v>0</v>
      </c>
      <c r="GG134" s="200">
        <f t="shared" si="1097"/>
        <v>0</v>
      </c>
      <c r="GH134" s="201" cm="1">
        <f t="array" ref="GH134">IF(LEFT($AG134,3)="Res",IF(OR($DU134&gt;External_Threshold,$DK134&gt;0),1*Uplift*AWE*(External),0),0)</f>
        <v>0</v>
      </c>
      <c r="GI134" s="200">
        <f t="shared" si="1098"/>
        <v>0</v>
      </c>
      <c r="GJ134" s="201">
        <f t="shared" si="1485"/>
        <v>0</v>
      </c>
      <c r="GK134" s="203">
        <f t="shared" si="1163"/>
        <v>0</v>
      </c>
      <c r="GL134" s="199">
        <f t="shared" ca="1" si="1486"/>
        <v>0</v>
      </c>
      <c r="GM134" s="200">
        <f t="shared" si="1101"/>
        <v>0</v>
      </c>
      <c r="GN134" s="201">
        <f t="shared" ca="1" si="1487"/>
        <v>0</v>
      </c>
      <c r="GO134" s="200">
        <f t="shared" si="1103"/>
        <v>0</v>
      </c>
      <c r="GP134" s="201" cm="1">
        <f t="array" ref="GP134">IF(LEFT($AG134,3)="Res",IF(OR($DV134&gt;External_Threshold,$DL134&gt;0),1*Uplift*AWE*(External),0),0)</f>
        <v>0</v>
      </c>
      <c r="GQ134" s="200">
        <f t="shared" si="1104"/>
        <v>0</v>
      </c>
      <c r="GR134" s="201">
        <f t="shared" si="1488"/>
        <v>0</v>
      </c>
      <c r="GS134" s="203">
        <f t="shared" si="1164"/>
        <v>0</v>
      </c>
      <c r="GT134" s="199">
        <f t="shared" ca="1" si="1489"/>
        <v>0</v>
      </c>
      <c r="GU134" s="200">
        <f t="shared" si="1107"/>
        <v>0</v>
      </c>
      <c r="GV134" s="201">
        <f t="shared" ca="1" si="1490"/>
        <v>0</v>
      </c>
      <c r="GW134" s="200">
        <f t="shared" si="1109"/>
        <v>0</v>
      </c>
      <c r="GX134" s="201" cm="1">
        <f t="array" ref="GX134">IF(LEFT($AG134,3)="Res",IF(OR($DW134&gt;External_Threshold,$DM134&gt;0),1*Uplift*AWE*(External),0),0)</f>
        <v>0</v>
      </c>
      <c r="GY134" s="200">
        <f t="shared" si="1110"/>
        <v>0</v>
      </c>
      <c r="GZ134" s="201">
        <f t="shared" si="1491"/>
        <v>0</v>
      </c>
      <c r="HA134" s="203">
        <f t="shared" si="1165"/>
        <v>0</v>
      </c>
      <c r="HB134" s="54"/>
      <c r="HC134" s="54"/>
      <c r="HD134" s="54"/>
      <c r="HE134" s="54"/>
      <c r="HF134" s="54"/>
      <c r="HG134" s="201">
        <f t="shared" ca="1" si="1166"/>
        <v>84106.755841937746</v>
      </c>
      <c r="HH134" s="201">
        <f t="shared" ca="1" si="1167"/>
        <v>0</v>
      </c>
      <c r="HI134" s="201">
        <f t="shared" ca="1" si="1168"/>
        <v>0</v>
      </c>
      <c r="HJ134" s="201">
        <f t="shared" ca="1" si="1169"/>
        <v>0</v>
      </c>
      <c r="HK134" s="201">
        <f t="shared" ca="1" si="1170"/>
        <v>0</v>
      </c>
      <c r="HL134" s="201">
        <f t="shared" ca="1" si="1171"/>
        <v>0</v>
      </c>
      <c r="HM134" s="201">
        <f t="shared" ca="1" si="1172"/>
        <v>0</v>
      </c>
      <c r="HN134" s="201">
        <f t="shared" ca="1" si="1173"/>
        <v>0</v>
      </c>
      <c r="HO134" s="201">
        <f t="shared" ca="1" si="1174"/>
        <v>0</v>
      </c>
      <c r="HP134" s="201">
        <f t="shared" ca="1" si="1175"/>
        <v>0</v>
      </c>
      <c r="HQ134" s="54"/>
    </row>
    <row r="135" spans="1:225" x14ac:dyDescent="0.3">
      <c r="A135" s="513">
        <v>117</v>
      </c>
      <c r="B135" s="514" t="s">
        <v>540</v>
      </c>
      <c r="C135" s="514" t="s">
        <v>390</v>
      </c>
      <c r="D135" s="514" t="s">
        <v>390</v>
      </c>
      <c r="E135" s="513">
        <v>0</v>
      </c>
      <c r="F135" s="515">
        <v>6.57</v>
      </c>
      <c r="G135" s="515">
        <v>5.6</v>
      </c>
      <c r="H135" s="513">
        <v>6</v>
      </c>
      <c r="I135" s="517">
        <v>1</v>
      </c>
      <c r="J135" s="518" t="s">
        <v>44</v>
      </c>
      <c r="K135" s="513">
        <f t="shared" si="1452"/>
        <v>240</v>
      </c>
      <c r="L135" s="519">
        <v>7.5</v>
      </c>
      <c r="M135" s="519">
        <v>6.5</v>
      </c>
      <c r="N135" s="519">
        <v>6.2</v>
      </c>
      <c r="O135" s="519">
        <v>5.9</v>
      </c>
      <c r="P135" s="519">
        <v>5.46</v>
      </c>
      <c r="Q135" s="519">
        <v>5</v>
      </c>
      <c r="R135" s="519">
        <v>4.2</v>
      </c>
      <c r="S135" s="519">
        <v>0</v>
      </c>
      <c r="T135" s="519">
        <v>0</v>
      </c>
      <c r="U135" s="519">
        <v>0</v>
      </c>
      <c r="V135" s="536"/>
      <c r="W135" s="536"/>
      <c r="X135" s="536"/>
      <c r="Y135" s="536"/>
      <c r="Z135" s="536"/>
      <c r="AA135" s="536"/>
      <c r="AB135" s="536"/>
      <c r="AC135" s="536"/>
      <c r="AD135" s="536"/>
      <c r="AE135" s="536"/>
      <c r="AF135" s="54"/>
      <c r="AG135" s="204" t="str">
        <f t="shared" si="1253"/>
        <v>Com1</v>
      </c>
      <c r="AH135" s="204">
        <f t="shared" si="1112"/>
        <v>3</v>
      </c>
      <c r="AI135" s="204">
        <f t="shared" si="1453"/>
        <v>1</v>
      </c>
      <c r="AJ135" s="54"/>
      <c r="AK135" s="74">
        <f>IFERROR(IF(H135&gt;4,0,AI135*Inputs!$C$55),0)</f>
        <v>0</v>
      </c>
      <c r="AL135" s="81">
        <f>IFERROR(Inputs!$C$73,0)</f>
        <v>5</v>
      </c>
      <c r="AM135" s="211">
        <f>IFERROR(Inputs!$C$74,0)</f>
        <v>0.24299999999999999</v>
      </c>
      <c r="AN135" s="446">
        <f>IFERROR(HLOOKUP(HLOOKUP(AN$17,$V$18:$AE135,COUNTA($AK$18:$AK135),FALSE),Inputs!$B$58:$H$59,2,FALSE),0)</f>
        <v>0</v>
      </c>
      <c r="AO135" s="447">
        <f t="shared" si="1113"/>
        <v>0</v>
      </c>
      <c r="AP135" s="447">
        <f t="shared" si="1114"/>
        <v>0</v>
      </c>
      <c r="AQ135" s="446">
        <f>IFERROR(HLOOKUP(HLOOKUP(AQ$17,$V$18:$AE135,COUNTA($AK$18:$AK135),FALSE),Inputs!$B$58:$H$59,2,FALSE),0)</f>
        <v>0</v>
      </c>
      <c r="AR135" s="447">
        <f t="shared" ref="AR135" si="1663">2*$AK135*AQ135*$AL135/100*$AM135</f>
        <v>0</v>
      </c>
      <c r="AS135" s="447">
        <f t="shared" si="1116"/>
        <v>0</v>
      </c>
      <c r="AT135" s="446">
        <f>IFERROR(HLOOKUP(HLOOKUP(AT$17,$V$18:$AE135,COUNTA($AK$18:$AK135),FALSE),Inputs!$B$58:$H$59,2,FALSE),0)</f>
        <v>0</v>
      </c>
      <c r="AU135" s="447">
        <f t="shared" ref="AU135" si="1664">2*$AK135*AT135*$AL135/100*$AM135</f>
        <v>0</v>
      </c>
      <c r="AV135" s="447">
        <f t="shared" si="1118"/>
        <v>0</v>
      </c>
      <c r="AW135" s="446">
        <f>IFERROR(HLOOKUP(HLOOKUP(AW$17,$V$18:$AE135,COUNTA($AK$18:$AK135),FALSE),Inputs!$B$58:$H$59,2,FALSE),0)</f>
        <v>0</v>
      </c>
      <c r="AX135" s="447">
        <f t="shared" ref="AX135" si="1665">2*$AK135*AW135*$AL135/100*$AM135</f>
        <v>0</v>
      </c>
      <c r="AY135" s="447">
        <f t="shared" si="1120"/>
        <v>0</v>
      </c>
      <c r="AZ135" s="446">
        <f>IFERROR(HLOOKUP(HLOOKUP(AZ$17,$V$18:$AE135,COUNTA($AK$18:$AK135),FALSE),Inputs!$B$58:$H$59,2,FALSE),0)</f>
        <v>0</v>
      </c>
      <c r="BA135" s="447">
        <f t="shared" ref="BA135" si="1666">2*$AK135*AZ135*$AL135/100*$AM135</f>
        <v>0</v>
      </c>
      <c r="BB135" s="447">
        <f t="shared" si="1122"/>
        <v>0</v>
      </c>
      <c r="BC135" s="446">
        <f>IFERROR(HLOOKUP(HLOOKUP(BC$17,$V$18:$AE135,COUNTA($AK$18:$AK135),FALSE),Inputs!$B$58:$H$59,2,FALSE),0)</f>
        <v>0</v>
      </c>
      <c r="BD135" s="447">
        <f t="shared" ref="BD135" si="1667">2*$AK135*BC135*$AL135/100*$AM135</f>
        <v>0</v>
      </c>
      <c r="BE135" s="447">
        <f t="shared" si="1124"/>
        <v>0</v>
      </c>
      <c r="BF135" s="446">
        <f>IFERROR(HLOOKUP(HLOOKUP(BF$17,$V$18:$AE135,COUNTA($AK$18:$AK135),FALSE),Inputs!$B$58:$H$59,2,FALSE),0)</f>
        <v>0</v>
      </c>
      <c r="BG135" s="447">
        <f t="shared" ref="BG135" si="1668">2*$AK135*BF135*$AL135/100*$AM135</f>
        <v>0</v>
      </c>
      <c r="BH135" s="447">
        <f t="shared" si="1126"/>
        <v>0</v>
      </c>
      <c r="BI135" s="446">
        <f>IFERROR(HLOOKUP(HLOOKUP(BI$17,$V$18:$AE135,COUNTA($AK$18:$AK135),FALSE),Inputs!$B$58:$H$59,2,FALSE),0)</f>
        <v>0</v>
      </c>
      <c r="BJ135" s="447">
        <f t="shared" ref="BJ135" si="1669">2*$AK135*BI135*$AL135/100*$AM135</f>
        <v>0</v>
      </c>
      <c r="BK135" s="447">
        <f t="shared" si="1128"/>
        <v>0</v>
      </c>
      <c r="BL135" s="446">
        <f>IFERROR(HLOOKUP(HLOOKUP(BL$17,$V$18:$AE135,COUNTA($AK$18:$AK135),FALSE),Inputs!$B$58:$H$59,2,FALSE),0)</f>
        <v>0</v>
      </c>
      <c r="BM135" s="447">
        <f t="shared" ref="BM135" si="1670">2*$AK135*BL135*$AL135/100*$AM135</f>
        <v>0</v>
      </c>
      <c r="BN135" s="447">
        <f t="shared" si="1130"/>
        <v>0</v>
      </c>
      <c r="BO135" s="446">
        <f>IFERROR(HLOOKUP(HLOOKUP(BO$17,$V$18:$AE135,COUNTA($AK$18:$AK135),FALSE),Inputs!$B$58:$H$59,2,FALSE),0)</f>
        <v>0</v>
      </c>
      <c r="BP135" s="447">
        <f t="shared" ref="BP135" si="1671">2*$AK135*BO135*$AL135/100*$AM135</f>
        <v>0</v>
      </c>
      <c r="BQ135" s="447">
        <f t="shared" si="1132"/>
        <v>0</v>
      </c>
      <c r="BR135" s="54"/>
      <c r="BS135" s="103">
        <f t="shared" ca="1" si="1203"/>
        <v>172.34765664342831</v>
      </c>
      <c r="BT135" s="103">
        <f t="shared" ca="1" si="1204"/>
        <v>0</v>
      </c>
      <c r="BU135" s="103">
        <f t="shared" si="1205"/>
        <v>0</v>
      </c>
      <c r="BV135" s="103">
        <f t="shared" si="1206"/>
        <v>0</v>
      </c>
      <c r="BW135" s="152">
        <f t="shared" ca="1" si="1207"/>
        <v>172.34765664342831</v>
      </c>
      <c r="BX135" s="441"/>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188">
        <f t="shared" si="1133"/>
        <v>0.92999999999999972</v>
      </c>
      <c r="DE135" s="188">
        <f t="shared" si="1134"/>
        <v>-7.0000000000000284E-2</v>
      </c>
      <c r="DF135" s="188">
        <f t="shared" si="1135"/>
        <v>-0.3</v>
      </c>
      <c r="DG135" s="188">
        <f t="shared" si="1136"/>
        <v>-0.3</v>
      </c>
      <c r="DH135" s="188">
        <f t="shared" si="1137"/>
        <v>-0.3</v>
      </c>
      <c r="DI135" s="188">
        <f t="shared" si="1138"/>
        <v>-0.3</v>
      </c>
      <c r="DJ135" s="188">
        <f t="shared" si="1139"/>
        <v>-0.3</v>
      </c>
      <c r="DK135" s="188">
        <f t="shared" si="1140"/>
        <v>-0.3</v>
      </c>
      <c r="DL135" s="188">
        <f t="shared" si="1141"/>
        <v>-0.3</v>
      </c>
      <c r="DM135" s="188">
        <f t="shared" si="1142"/>
        <v>-0.3</v>
      </c>
      <c r="DN135" s="189">
        <f t="shared" si="1143"/>
        <v>1.9000000000000004</v>
      </c>
      <c r="DO135" s="189">
        <f t="shared" si="1144"/>
        <v>0.90000000000000036</v>
      </c>
      <c r="DP135" s="189">
        <f t="shared" si="1145"/>
        <v>0.60000000000000053</v>
      </c>
      <c r="DQ135" s="189">
        <f t="shared" si="1146"/>
        <v>0.30000000000000071</v>
      </c>
      <c r="DR135" s="189">
        <f t="shared" si="1147"/>
        <v>0</v>
      </c>
      <c r="DS135" s="189">
        <f t="shared" si="1148"/>
        <v>0</v>
      </c>
      <c r="DT135" s="189">
        <f t="shared" si="1149"/>
        <v>0</v>
      </c>
      <c r="DU135" s="189">
        <f t="shared" si="1150"/>
        <v>0</v>
      </c>
      <c r="DV135" s="189">
        <f t="shared" si="1151"/>
        <v>0</v>
      </c>
      <c r="DW135" s="189">
        <f t="shared" si="1152"/>
        <v>0</v>
      </c>
      <c r="DX135" s="54"/>
      <c r="DY135" s="54"/>
      <c r="DZ135" s="199">
        <f t="shared" ca="1" si="1463"/>
        <v>173213.72526977721</v>
      </c>
      <c r="EA135" s="200">
        <f t="shared" si="1153"/>
        <v>1</v>
      </c>
      <c r="EB135" s="201">
        <f t="shared" ca="1" si="1464"/>
        <v>0</v>
      </c>
      <c r="EC135" s="200">
        <f t="shared" si="1154"/>
        <v>1</v>
      </c>
      <c r="ED135" s="201" cm="1">
        <f t="array" ref="ED135">IF(LEFT($AG135,3)="Res",IF(OR($DN135&gt;External_Threshold,$DD135&gt;0),1*Uplift*AWE*(External),0),0)</f>
        <v>0</v>
      </c>
      <c r="EE135" s="200">
        <f t="shared" si="1155"/>
        <v>1</v>
      </c>
      <c r="EF135" s="201">
        <f t="shared" si="1465"/>
        <v>0</v>
      </c>
      <c r="EG135" s="203">
        <f t="shared" si="1156"/>
        <v>0</v>
      </c>
      <c r="EH135" s="199">
        <f t="shared" ca="1" si="1466"/>
        <v>0</v>
      </c>
      <c r="EI135" s="200">
        <f t="shared" si="1059"/>
        <v>0</v>
      </c>
      <c r="EJ135" s="201">
        <f t="shared" ca="1" si="1467"/>
        <v>0</v>
      </c>
      <c r="EK135" s="200">
        <f t="shared" si="1061"/>
        <v>0</v>
      </c>
      <c r="EL135" s="201" cm="1">
        <f t="array" ref="EL135">IF(LEFT($AG135,3)="Res",IF(OR($DO135&gt;External_Threshold,$DE135&gt;0),1*Uplift*AWE*(External),0),0)</f>
        <v>0</v>
      </c>
      <c r="EM135" s="200">
        <f t="shared" si="1062"/>
        <v>1</v>
      </c>
      <c r="EN135" s="201">
        <f t="shared" si="1468"/>
        <v>0</v>
      </c>
      <c r="EO135" s="203">
        <f t="shared" si="1157"/>
        <v>0</v>
      </c>
      <c r="EP135" s="199">
        <f t="shared" ca="1" si="1469"/>
        <v>0</v>
      </c>
      <c r="EQ135" s="200">
        <f t="shared" si="1065"/>
        <v>0</v>
      </c>
      <c r="ER135" s="201">
        <f t="shared" ca="1" si="1470"/>
        <v>0</v>
      </c>
      <c r="ES135" s="200">
        <f t="shared" si="1067"/>
        <v>0</v>
      </c>
      <c r="ET135" s="201" cm="1">
        <f t="array" ref="ET135">IF(LEFT($AG135,3)="Res",IF(OR($DP135&gt;External_Threshold,$DF135&gt;0),1*Uplift*AWE*(External),0),0)</f>
        <v>0</v>
      </c>
      <c r="EU135" s="200">
        <f t="shared" si="1068"/>
        <v>1</v>
      </c>
      <c r="EV135" s="201">
        <f t="shared" si="1471"/>
        <v>0</v>
      </c>
      <c r="EW135" s="203">
        <f t="shared" si="1158"/>
        <v>0</v>
      </c>
      <c r="EX135" s="199">
        <f t="shared" ca="1" si="1472"/>
        <v>0</v>
      </c>
      <c r="EY135" s="200">
        <f t="shared" si="1071"/>
        <v>0</v>
      </c>
      <c r="EZ135" s="201">
        <f t="shared" ca="1" si="1473"/>
        <v>0</v>
      </c>
      <c r="FA135" s="200">
        <f t="shared" si="1073"/>
        <v>0</v>
      </c>
      <c r="FB135" s="201" cm="1">
        <f t="array" ref="FB135">IF(LEFT($AG135,3)="Res",IF(OR($DQ135&gt;External_Threshold,$DG135&gt;0),1*Uplift*AWE*(External),0),0)</f>
        <v>0</v>
      </c>
      <c r="FC135" s="200">
        <f t="shared" si="1074"/>
        <v>1</v>
      </c>
      <c r="FD135" s="201">
        <f t="shared" si="1075"/>
        <v>0</v>
      </c>
      <c r="FE135" s="203">
        <f t="shared" si="1159"/>
        <v>0</v>
      </c>
      <c r="FF135" s="199">
        <f t="shared" ca="1" si="1474"/>
        <v>0</v>
      </c>
      <c r="FG135" s="200">
        <f t="shared" si="1077"/>
        <v>0</v>
      </c>
      <c r="FH135" s="201">
        <f t="shared" ca="1" si="1475"/>
        <v>0</v>
      </c>
      <c r="FI135" s="200">
        <f t="shared" si="1079"/>
        <v>0</v>
      </c>
      <c r="FJ135" s="201" cm="1">
        <f t="array" ref="FJ135">IF(LEFT($AG135,3)="Res",IF(OR($DR135&gt;External_Threshold,$DH135&gt;0),1*Uplift*AWE*(External),0),0)</f>
        <v>0</v>
      </c>
      <c r="FK135" s="200">
        <f t="shared" si="1080"/>
        <v>0</v>
      </c>
      <c r="FL135" s="201">
        <f t="shared" si="1476"/>
        <v>0</v>
      </c>
      <c r="FM135" s="203">
        <f t="shared" si="1160"/>
        <v>0</v>
      </c>
      <c r="FN135" s="199">
        <f t="shared" ca="1" si="1477"/>
        <v>0</v>
      </c>
      <c r="FO135" s="200">
        <f t="shared" si="1083"/>
        <v>0</v>
      </c>
      <c r="FP135" s="201">
        <f t="shared" ca="1" si="1478"/>
        <v>0</v>
      </c>
      <c r="FQ135" s="200">
        <f t="shared" si="1085"/>
        <v>0</v>
      </c>
      <c r="FR135" s="201" cm="1">
        <f t="array" ref="FR135">IF(LEFT($AG135,3)="Res",IF(OR($DS135&gt;External_Threshold,$DI135&gt;0),1*Uplift*AWE*(External),0),0)</f>
        <v>0</v>
      </c>
      <c r="FS135" s="200">
        <f t="shared" si="1086"/>
        <v>0</v>
      </c>
      <c r="FT135" s="201">
        <f t="shared" si="1479"/>
        <v>0</v>
      </c>
      <c r="FU135" s="203">
        <f t="shared" si="1161"/>
        <v>0</v>
      </c>
      <c r="FV135" s="199">
        <f t="shared" ca="1" si="1480"/>
        <v>0</v>
      </c>
      <c r="FW135" s="200">
        <f t="shared" si="1089"/>
        <v>0</v>
      </c>
      <c r="FX135" s="201">
        <f t="shared" ca="1" si="1481"/>
        <v>0</v>
      </c>
      <c r="FY135" s="200">
        <f t="shared" si="1091"/>
        <v>0</v>
      </c>
      <c r="FZ135" s="201" cm="1">
        <f t="array" ref="FZ135">IF(LEFT($AG135,3)="Res",IF(OR($DT135&gt;External_Threshold,$DJ135&gt;0),1*Uplift*AWE*(External),0),0)</f>
        <v>0</v>
      </c>
      <c r="GA135" s="200">
        <f t="shared" si="1092"/>
        <v>0</v>
      </c>
      <c r="GB135" s="201">
        <f t="shared" si="1482"/>
        <v>0</v>
      </c>
      <c r="GC135" s="203">
        <f t="shared" si="1162"/>
        <v>0</v>
      </c>
      <c r="GD135" s="199">
        <f t="shared" ca="1" si="1483"/>
        <v>0</v>
      </c>
      <c r="GE135" s="200">
        <f t="shared" si="1095"/>
        <v>0</v>
      </c>
      <c r="GF135" s="201">
        <f t="shared" ca="1" si="1484"/>
        <v>0</v>
      </c>
      <c r="GG135" s="200">
        <f t="shared" si="1097"/>
        <v>0</v>
      </c>
      <c r="GH135" s="201" cm="1">
        <f t="array" ref="GH135">IF(LEFT($AG135,3)="Res",IF(OR($DU135&gt;External_Threshold,$DK135&gt;0),1*Uplift*AWE*(External),0),0)</f>
        <v>0</v>
      </c>
      <c r="GI135" s="200">
        <f t="shared" si="1098"/>
        <v>0</v>
      </c>
      <c r="GJ135" s="201">
        <f t="shared" si="1485"/>
        <v>0</v>
      </c>
      <c r="GK135" s="203">
        <f t="shared" si="1163"/>
        <v>0</v>
      </c>
      <c r="GL135" s="199">
        <f t="shared" ca="1" si="1486"/>
        <v>0</v>
      </c>
      <c r="GM135" s="200">
        <f t="shared" si="1101"/>
        <v>0</v>
      </c>
      <c r="GN135" s="201">
        <f t="shared" ca="1" si="1487"/>
        <v>0</v>
      </c>
      <c r="GO135" s="200">
        <f t="shared" si="1103"/>
        <v>0</v>
      </c>
      <c r="GP135" s="201" cm="1">
        <f t="array" ref="GP135">IF(LEFT($AG135,3)="Res",IF(OR($DV135&gt;External_Threshold,$DL135&gt;0),1*Uplift*AWE*(External),0),0)</f>
        <v>0</v>
      </c>
      <c r="GQ135" s="200">
        <f t="shared" si="1104"/>
        <v>0</v>
      </c>
      <c r="GR135" s="201">
        <f t="shared" si="1488"/>
        <v>0</v>
      </c>
      <c r="GS135" s="203">
        <f t="shared" si="1164"/>
        <v>0</v>
      </c>
      <c r="GT135" s="199">
        <f t="shared" ca="1" si="1489"/>
        <v>0</v>
      </c>
      <c r="GU135" s="200">
        <f t="shared" si="1107"/>
        <v>0</v>
      </c>
      <c r="GV135" s="201">
        <f t="shared" ca="1" si="1490"/>
        <v>0</v>
      </c>
      <c r="GW135" s="200">
        <f t="shared" si="1109"/>
        <v>0</v>
      </c>
      <c r="GX135" s="201" cm="1">
        <f t="array" ref="GX135">IF(LEFT($AG135,3)="Res",IF(OR($DW135&gt;External_Threshold,$DM135&gt;0),1*Uplift*AWE*(External),0),0)</f>
        <v>0</v>
      </c>
      <c r="GY135" s="200">
        <f t="shared" si="1110"/>
        <v>0</v>
      </c>
      <c r="GZ135" s="201">
        <f t="shared" si="1491"/>
        <v>0</v>
      </c>
      <c r="HA135" s="203">
        <f t="shared" si="1165"/>
        <v>0</v>
      </c>
      <c r="HB135" s="54"/>
      <c r="HC135" s="54"/>
      <c r="HD135" s="54"/>
      <c r="HE135" s="54"/>
      <c r="HF135" s="54"/>
      <c r="HG135" s="201">
        <f t="shared" ca="1" si="1166"/>
        <v>173213.72526977721</v>
      </c>
      <c r="HH135" s="201">
        <f t="shared" ca="1" si="1167"/>
        <v>0</v>
      </c>
      <c r="HI135" s="201">
        <f t="shared" ca="1" si="1168"/>
        <v>0</v>
      </c>
      <c r="HJ135" s="201">
        <f t="shared" ca="1" si="1169"/>
        <v>0</v>
      </c>
      <c r="HK135" s="201">
        <f t="shared" ca="1" si="1170"/>
        <v>0</v>
      </c>
      <c r="HL135" s="201">
        <f t="shared" ca="1" si="1171"/>
        <v>0</v>
      </c>
      <c r="HM135" s="201">
        <f t="shared" ca="1" si="1172"/>
        <v>0</v>
      </c>
      <c r="HN135" s="201">
        <f t="shared" ca="1" si="1173"/>
        <v>0</v>
      </c>
      <c r="HO135" s="201">
        <f t="shared" ca="1" si="1174"/>
        <v>0</v>
      </c>
      <c r="HP135" s="201">
        <f t="shared" ca="1" si="1175"/>
        <v>0</v>
      </c>
      <c r="HQ135" s="54"/>
    </row>
    <row r="136" spans="1:225" x14ac:dyDescent="0.3">
      <c r="A136" s="513">
        <v>118</v>
      </c>
      <c r="B136" s="514" t="s">
        <v>541</v>
      </c>
      <c r="C136" s="514" t="s">
        <v>390</v>
      </c>
      <c r="D136" s="514" t="s">
        <v>390</v>
      </c>
      <c r="E136" s="513">
        <v>0</v>
      </c>
      <c r="F136" s="515">
        <v>5.92</v>
      </c>
      <c r="G136" s="515">
        <v>5.67</v>
      </c>
      <c r="H136" s="513">
        <v>7</v>
      </c>
      <c r="I136" s="517">
        <v>1</v>
      </c>
      <c r="J136" s="518" t="s">
        <v>295</v>
      </c>
      <c r="K136" s="513">
        <f t="shared" si="1452"/>
        <v>220</v>
      </c>
      <c r="L136" s="519">
        <v>7.5</v>
      </c>
      <c r="M136" s="519">
        <v>6.52</v>
      </c>
      <c r="N136" s="519">
        <v>6.22</v>
      </c>
      <c r="O136" s="519">
        <v>5.92</v>
      </c>
      <c r="P136" s="519">
        <v>5.47</v>
      </c>
      <c r="Q136" s="519">
        <v>5</v>
      </c>
      <c r="R136" s="519">
        <v>4.2</v>
      </c>
      <c r="S136" s="519">
        <v>0</v>
      </c>
      <c r="T136" s="519">
        <v>0</v>
      </c>
      <c r="U136" s="519">
        <v>0</v>
      </c>
      <c r="V136" s="536"/>
      <c r="W136" s="536"/>
      <c r="X136" s="536"/>
      <c r="Y136" s="536"/>
      <c r="Z136" s="536"/>
      <c r="AA136" s="536"/>
      <c r="AB136" s="536"/>
      <c r="AC136" s="536"/>
      <c r="AD136" s="536"/>
      <c r="AE136" s="536"/>
      <c r="AF136" s="54"/>
      <c r="AG136" s="204" t="str">
        <f t="shared" si="1253"/>
        <v>Com1</v>
      </c>
      <c r="AH136" s="204">
        <f t="shared" si="1112"/>
        <v>4</v>
      </c>
      <c r="AI136" s="204">
        <f t="shared" si="1453"/>
        <v>1</v>
      </c>
      <c r="AJ136" s="54"/>
      <c r="AK136" s="74">
        <f>IFERROR(IF(H136&gt;4,0,AI136*Inputs!$C$55),0)</f>
        <v>0</v>
      </c>
      <c r="AL136" s="81">
        <f>IFERROR(Inputs!$C$73,0)</f>
        <v>5</v>
      </c>
      <c r="AM136" s="211">
        <f>IFERROR(Inputs!$C$74,0)</f>
        <v>0.24299999999999999</v>
      </c>
      <c r="AN136" s="446">
        <f>IFERROR(HLOOKUP(HLOOKUP(AN$17,$V$18:$AE136,COUNTA($AK$18:$AK136),FALSE),Inputs!$B$58:$H$59,2,FALSE),0)</f>
        <v>0</v>
      </c>
      <c r="AO136" s="447">
        <f t="shared" si="1113"/>
        <v>0</v>
      </c>
      <c r="AP136" s="447">
        <f t="shared" si="1114"/>
        <v>0</v>
      </c>
      <c r="AQ136" s="446">
        <f>IFERROR(HLOOKUP(HLOOKUP(AQ$17,$V$18:$AE136,COUNTA($AK$18:$AK136),FALSE),Inputs!$B$58:$H$59,2,FALSE),0)</f>
        <v>0</v>
      </c>
      <c r="AR136" s="447">
        <f t="shared" ref="AR136" si="1672">2*$AK136*AQ136*$AL136/100*$AM136</f>
        <v>0</v>
      </c>
      <c r="AS136" s="447">
        <f t="shared" si="1116"/>
        <v>0</v>
      </c>
      <c r="AT136" s="446">
        <f>IFERROR(HLOOKUP(HLOOKUP(AT$17,$V$18:$AE136,COUNTA($AK$18:$AK136),FALSE),Inputs!$B$58:$H$59,2,FALSE),0)</f>
        <v>0</v>
      </c>
      <c r="AU136" s="447">
        <f t="shared" ref="AU136" si="1673">2*$AK136*AT136*$AL136/100*$AM136</f>
        <v>0</v>
      </c>
      <c r="AV136" s="447">
        <f t="shared" si="1118"/>
        <v>0</v>
      </c>
      <c r="AW136" s="446">
        <f>IFERROR(HLOOKUP(HLOOKUP(AW$17,$V$18:$AE136,COUNTA($AK$18:$AK136),FALSE),Inputs!$B$58:$H$59,2,FALSE),0)</f>
        <v>0</v>
      </c>
      <c r="AX136" s="447">
        <f t="shared" ref="AX136" si="1674">2*$AK136*AW136*$AL136/100*$AM136</f>
        <v>0</v>
      </c>
      <c r="AY136" s="447">
        <f t="shared" si="1120"/>
        <v>0</v>
      </c>
      <c r="AZ136" s="446">
        <f>IFERROR(HLOOKUP(HLOOKUP(AZ$17,$V$18:$AE136,COUNTA($AK$18:$AK136),FALSE),Inputs!$B$58:$H$59,2,FALSE),0)</f>
        <v>0</v>
      </c>
      <c r="BA136" s="447">
        <f t="shared" ref="BA136" si="1675">2*$AK136*AZ136*$AL136/100*$AM136</f>
        <v>0</v>
      </c>
      <c r="BB136" s="447">
        <f t="shared" si="1122"/>
        <v>0</v>
      </c>
      <c r="BC136" s="446">
        <f>IFERROR(HLOOKUP(HLOOKUP(BC$17,$V$18:$AE136,COUNTA($AK$18:$AK136),FALSE),Inputs!$B$58:$H$59,2,FALSE),0)</f>
        <v>0</v>
      </c>
      <c r="BD136" s="447">
        <f t="shared" ref="BD136" si="1676">2*$AK136*BC136*$AL136/100*$AM136</f>
        <v>0</v>
      </c>
      <c r="BE136" s="447">
        <f t="shared" si="1124"/>
        <v>0</v>
      </c>
      <c r="BF136" s="446">
        <f>IFERROR(HLOOKUP(HLOOKUP(BF$17,$V$18:$AE136,COUNTA($AK$18:$AK136),FALSE),Inputs!$B$58:$H$59,2,FALSE),0)</f>
        <v>0</v>
      </c>
      <c r="BG136" s="447">
        <f t="shared" ref="BG136" si="1677">2*$AK136*BF136*$AL136/100*$AM136</f>
        <v>0</v>
      </c>
      <c r="BH136" s="447">
        <f t="shared" si="1126"/>
        <v>0</v>
      </c>
      <c r="BI136" s="446">
        <f>IFERROR(HLOOKUP(HLOOKUP(BI$17,$V$18:$AE136,COUNTA($AK$18:$AK136),FALSE),Inputs!$B$58:$H$59,2,FALSE),0)</f>
        <v>0</v>
      </c>
      <c r="BJ136" s="447">
        <f t="shared" ref="BJ136" si="1678">2*$AK136*BI136*$AL136/100*$AM136</f>
        <v>0</v>
      </c>
      <c r="BK136" s="447">
        <f t="shared" si="1128"/>
        <v>0</v>
      </c>
      <c r="BL136" s="446">
        <f>IFERROR(HLOOKUP(HLOOKUP(BL$17,$V$18:$AE136,COUNTA($AK$18:$AK136),FALSE),Inputs!$B$58:$H$59,2,FALSE),0)</f>
        <v>0</v>
      </c>
      <c r="BM136" s="447">
        <f t="shared" ref="BM136" si="1679">2*$AK136*BL136*$AL136/100*$AM136</f>
        <v>0</v>
      </c>
      <c r="BN136" s="447">
        <f t="shared" si="1130"/>
        <v>0</v>
      </c>
      <c r="BO136" s="446">
        <f>IFERROR(HLOOKUP(HLOOKUP(BO$17,$V$18:$AE136,COUNTA($AK$18:$AK136),FALSE),Inputs!$B$58:$H$59,2,FALSE),0)</f>
        <v>0</v>
      </c>
      <c r="BP136" s="447">
        <f t="shared" ref="BP136" si="1680">2*$AK136*BO136*$AL136/100*$AM136</f>
        <v>0</v>
      </c>
      <c r="BQ136" s="447">
        <f t="shared" si="1132"/>
        <v>0</v>
      </c>
      <c r="BR136" s="54"/>
      <c r="BS136" s="103">
        <f t="shared" ca="1" si="1203"/>
        <v>1171.1969020105321</v>
      </c>
      <c r="BT136" s="103">
        <f t="shared" ca="1" si="1204"/>
        <v>0</v>
      </c>
      <c r="BU136" s="103">
        <f t="shared" si="1205"/>
        <v>0</v>
      </c>
      <c r="BV136" s="103">
        <f t="shared" si="1206"/>
        <v>0</v>
      </c>
      <c r="BW136" s="152">
        <f t="shared" ca="1" si="1207"/>
        <v>1171.1969020105321</v>
      </c>
      <c r="BX136" s="441"/>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188">
        <f t="shared" si="1133"/>
        <v>1.58</v>
      </c>
      <c r="DE136" s="188">
        <f t="shared" si="1134"/>
        <v>0.59999999999999964</v>
      </c>
      <c r="DF136" s="188">
        <f t="shared" si="1135"/>
        <v>0.29999999999999982</v>
      </c>
      <c r="DG136" s="188">
        <f t="shared" si="1136"/>
        <v>0</v>
      </c>
      <c r="DH136" s="188">
        <f t="shared" si="1137"/>
        <v>-0.3</v>
      </c>
      <c r="DI136" s="188">
        <f t="shared" si="1138"/>
        <v>-0.3</v>
      </c>
      <c r="DJ136" s="188">
        <f t="shared" si="1139"/>
        <v>-0.3</v>
      </c>
      <c r="DK136" s="188">
        <f t="shared" si="1140"/>
        <v>-0.3</v>
      </c>
      <c r="DL136" s="188">
        <f t="shared" si="1141"/>
        <v>-0.3</v>
      </c>
      <c r="DM136" s="188">
        <f t="shared" si="1142"/>
        <v>-0.3</v>
      </c>
      <c r="DN136" s="189">
        <f t="shared" si="1143"/>
        <v>1.83</v>
      </c>
      <c r="DO136" s="189">
        <f t="shared" si="1144"/>
        <v>0.84999999999999964</v>
      </c>
      <c r="DP136" s="189">
        <f t="shared" si="1145"/>
        <v>0.54999999999999982</v>
      </c>
      <c r="DQ136" s="189">
        <f t="shared" si="1146"/>
        <v>0.25</v>
      </c>
      <c r="DR136" s="189">
        <f t="shared" si="1147"/>
        <v>0</v>
      </c>
      <c r="DS136" s="189">
        <f t="shared" si="1148"/>
        <v>0</v>
      </c>
      <c r="DT136" s="189">
        <f t="shared" si="1149"/>
        <v>0</v>
      </c>
      <c r="DU136" s="189">
        <f t="shared" si="1150"/>
        <v>0</v>
      </c>
      <c r="DV136" s="189">
        <f t="shared" si="1151"/>
        <v>0</v>
      </c>
      <c r="DW136" s="189">
        <f t="shared" si="1152"/>
        <v>0</v>
      </c>
      <c r="DX136" s="54"/>
      <c r="DY136" s="54"/>
      <c r="DZ136" s="199">
        <f t="shared" ca="1" si="1463"/>
        <v>311560.98929689726</v>
      </c>
      <c r="EA136" s="200">
        <f t="shared" si="1153"/>
        <v>1</v>
      </c>
      <c r="EB136" s="201">
        <f t="shared" ca="1" si="1464"/>
        <v>0</v>
      </c>
      <c r="EC136" s="200">
        <f t="shared" si="1154"/>
        <v>1</v>
      </c>
      <c r="ED136" s="201" cm="1">
        <f t="array" ref="ED136">IF(LEFT($AG136,3)="Res",IF(OR($DN136&gt;External_Threshold,$DD136&gt;0),1*Uplift*AWE*(External),0),0)</f>
        <v>0</v>
      </c>
      <c r="EE136" s="200">
        <f t="shared" si="1155"/>
        <v>1</v>
      </c>
      <c r="EF136" s="201">
        <f t="shared" si="1465"/>
        <v>0</v>
      </c>
      <c r="EG136" s="203">
        <f t="shared" si="1156"/>
        <v>0</v>
      </c>
      <c r="EH136" s="199">
        <f t="shared" ca="1" si="1466"/>
        <v>164778.58582408197</v>
      </c>
      <c r="EI136" s="200">
        <f t="shared" si="1059"/>
        <v>1</v>
      </c>
      <c r="EJ136" s="201">
        <f t="shared" ca="1" si="1467"/>
        <v>0</v>
      </c>
      <c r="EK136" s="200">
        <f t="shared" si="1061"/>
        <v>1</v>
      </c>
      <c r="EL136" s="201" cm="1">
        <f t="array" ref="EL136">IF(LEFT($AG136,3)="Res",IF(OR($DO136&gt;External_Threshold,$DE136&gt;0),1*Uplift*AWE*(External),0),0)</f>
        <v>0</v>
      </c>
      <c r="EM136" s="200">
        <f t="shared" si="1062"/>
        <v>1</v>
      </c>
      <c r="EN136" s="201">
        <f t="shared" si="1468"/>
        <v>0</v>
      </c>
      <c r="EO136" s="203">
        <f t="shared" si="1157"/>
        <v>0</v>
      </c>
      <c r="EP136" s="199">
        <f t="shared" ca="1" si="1469"/>
        <v>112517.78650725874</v>
      </c>
      <c r="EQ136" s="200">
        <f t="shared" si="1065"/>
        <v>1</v>
      </c>
      <c r="ER136" s="201">
        <f t="shared" ca="1" si="1470"/>
        <v>0</v>
      </c>
      <c r="ES136" s="200">
        <f t="shared" si="1067"/>
        <v>1</v>
      </c>
      <c r="ET136" s="201" cm="1">
        <f t="array" ref="ET136">IF(LEFT($AG136,3)="Res",IF(OR($DP136&gt;External_Threshold,$DF136&gt;0),1*Uplift*AWE*(External),0),0)</f>
        <v>0</v>
      </c>
      <c r="EU136" s="200">
        <f t="shared" si="1068"/>
        <v>1</v>
      </c>
      <c r="EV136" s="201">
        <f t="shared" si="1471"/>
        <v>0</v>
      </c>
      <c r="EW136" s="203">
        <f t="shared" si="1158"/>
        <v>0</v>
      </c>
      <c r="EX136" s="199">
        <f t="shared" ca="1" si="1472"/>
        <v>0</v>
      </c>
      <c r="EY136" s="200">
        <f t="shared" si="1071"/>
        <v>0</v>
      </c>
      <c r="EZ136" s="201">
        <f t="shared" ca="1" si="1473"/>
        <v>0</v>
      </c>
      <c r="FA136" s="200">
        <f t="shared" si="1073"/>
        <v>0</v>
      </c>
      <c r="FB136" s="201" cm="1">
        <f t="array" ref="FB136">IF(LEFT($AG136,3)="Res",IF(OR($DQ136&gt;External_Threshold,$DG136&gt;0),1*Uplift*AWE*(External),0),0)</f>
        <v>0</v>
      </c>
      <c r="FC136" s="200">
        <f t="shared" si="1074"/>
        <v>1</v>
      </c>
      <c r="FD136" s="201">
        <f t="shared" si="1075"/>
        <v>0</v>
      </c>
      <c r="FE136" s="203">
        <f t="shared" si="1159"/>
        <v>0</v>
      </c>
      <c r="FF136" s="199">
        <f t="shared" ca="1" si="1474"/>
        <v>0</v>
      </c>
      <c r="FG136" s="200">
        <f t="shared" si="1077"/>
        <v>0</v>
      </c>
      <c r="FH136" s="201">
        <f t="shared" ca="1" si="1475"/>
        <v>0</v>
      </c>
      <c r="FI136" s="200">
        <f t="shared" si="1079"/>
        <v>0</v>
      </c>
      <c r="FJ136" s="201" cm="1">
        <f t="array" ref="FJ136">IF(LEFT($AG136,3)="Res",IF(OR($DR136&gt;External_Threshold,$DH136&gt;0),1*Uplift*AWE*(External),0),0)</f>
        <v>0</v>
      </c>
      <c r="FK136" s="200">
        <f t="shared" si="1080"/>
        <v>0</v>
      </c>
      <c r="FL136" s="201">
        <f t="shared" si="1476"/>
        <v>0</v>
      </c>
      <c r="FM136" s="203">
        <f t="shared" si="1160"/>
        <v>0</v>
      </c>
      <c r="FN136" s="199">
        <f t="shared" ca="1" si="1477"/>
        <v>0</v>
      </c>
      <c r="FO136" s="200">
        <f t="shared" si="1083"/>
        <v>0</v>
      </c>
      <c r="FP136" s="201">
        <f t="shared" ca="1" si="1478"/>
        <v>0</v>
      </c>
      <c r="FQ136" s="200">
        <f t="shared" si="1085"/>
        <v>0</v>
      </c>
      <c r="FR136" s="201" cm="1">
        <f t="array" ref="FR136">IF(LEFT($AG136,3)="Res",IF(OR($DS136&gt;External_Threshold,$DI136&gt;0),1*Uplift*AWE*(External),0),0)</f>
        <v>0</v>
      </c>
      <c r="FS136" s="200">
        <f t="shared" si="1086"/>
        <v>0</v>
      </c>
      <c r="FT136" s="201">
        <f t="shared" si="1479"/>
        <v>0</v>
      </c>
      <c r="FU136" s="203">
        <f t="shared" si="1161"/>
        <v>0</v>
      </c>
      <c r="FV136" s="199">
        <f t="shared" ca="1" si="1480"/>
        <v>0</v>
      </c>
      <c r="FW136" s="200">
        <f t="shared" si="1089"/>
        <v>0</v>
      </c>
      <c r="FX136" s="201">
        <f t="shared" ca="1" si="1481"/>
        <v>0</v>
      </c>
      <c r="FY136" s="200">
        <f t="shared" si="1091"/>
        <v>0</v>
      </c>
      <c r="FZ136" s="201" cm="1">
        <f t="array" ref="FZ136">IF(LEFT($AG136,3)="Res",IF(OR($DT136&gt;External_Threshold,$DJ136&gt;0),1*Uplift*AWE*(External),0),0)</f>
        <v>0</v>
      </c>
      <c r="GA136" s="200">
        <f t="shared" si="1092"/>
        <v>0</v>
      </c>
      <c r="GB136" s="201">
        <f t="shared" si="1482"/>
        <v>0</v>
      </c>
      <c r="GC136" s="203">
        <f t="shared" si="1162"/>
        <v>0</v>
      </c>
      <c r="GD136" s="199">
        <f t="shared" ca="1" si="1483"/>
        <v>0</v>
      </c>
      <c r="GE136" s="200">
        <f t="shared" si="1095"/>
        <v>0</v>
      </c>
      <c r="GF136" s="201">
        <f t="shared" ca="1" si="1484"/>
        <v>0</v>
      </c>
      <c r="GG136" s="200">
        <f t="shared" si="1097"/>
        <v>0</v>
      </c>
      <c r="GH136" s="201" cm="1">
        <f t="array" ref="GH136">IF(LEFT($AG136,3)="Res",IF(OR($DU136&gt;External_Threshold,$DK136&gt;0),1*Uplift*AWE*(External),0),0)</f>
        <v>0</v>
      </c>
      <c r="GI136" s="200">
        <f t="shared" si="1098"/>
        <v>0</v>
      </c>
      <c r="GJ136" s="201">
        <f t="shared" si="1485"/>
        <v>0</v>
      </c>
      <c r="GK136" s="203">
        <f t="shared" si="1163"/>
        <v>0</v>
      </c>
      <c r="GL136" s="199">
        <f t="shared" ca="1" si="1486"/>
        <v>0</v>
      </c>
      <c r="GM136" s="200">
        <f t="shared" si="1101"/>
        <v>0</v>
      </c>
      <c r="GN136" s="201">
        <f t="shared" ca="1" si="1487"/>
        <v>0</v>
      </c>
      <c r="GO136" s="200">
        <f t="shared" si="1103"/>
        <v>0</v>
      </c>
      <c r="GP136" s="201" cm="1">
        <f t="array" ref="GP136">IF(LEFT($AG136,3)="Res",IF(OR($DV136&gt;External_Threshold,$DL136&gt;0),1*Uplift*AWE*(External),0),0)</f>
        <v>0</v>
      </c>
      <c r="GQ136" s="200">
        <f t="shared" si="1104"/>
        <v>0</v>
      </c>
      <c r="GR136" s="201">
        <f t="shared" si="1488"/>
        <v>0</v>
      </c>
      <c r="GS136" s="203">
        <f t="shared" si="1164"/>
        <v>0</v>
      </c>
      <c r="GT136" s="199">
        <f t="shared" ca="1" si="1489"/>
        <v>0</v>
      </c>
      <c r="GU136" s="200">
        <f t="shared" si="1107"/>
        <v>0</v>
      </c>
      <c r="GV136" s="201">
        <f t="shared" ca="1" si="1490"/>
        <v>0</v>
      </c>
      <c r="GW136" s="200">
        <f t="shared" si="1109"/>
        <v>0</v>
      </c>
      <c r="GX136" s="201" cm="1">
        <f t="array" ref="GX136">IF(LEFT($AG136,3)="Res",IF(OR($DW136&gt;External_Threshold,$DM136&gt;0),1*Uplift*AWE*(External),0),0)</f>
        <v>0</v>
      </c>
      <c r="GY136" s="200">
        <f t="shared" si="1110"/>
        <v>0</v>
      </c>
      <c r="GZ136" s="201">
        <f t="shared" si="1491"/>
        <v>0</v>
      </c>
      <c r="HA136" s="203">
        <f t="shared" si="1165"/>
        <v>0</v>
      </c>
      <c r="HB136" s="54"/>
      <c r="HC136" s="54"/>
      <c r="HD136" s="54"/>
      <c r="HE136" s="54"/>
      <c r="HF136" s="54"/>
      <c r="HG136" s="201">
        <f t="shared" ca="1" si="1166"/>
        <v>311560.98929689726</v>
      </c>
      <c r="HH136" s="201">
        <f t="shared" ca="1" si="1167"/>
        <v>164778.58582408197</v>
      </c>
      <c r="HI136" s="201">
        <f t="shared" ca="1" si="1168"/>
        <v>112517.78650725874</v>
      </c>
      <c r="HJ136" s="201">
        <f t="shared" ca="1" si="1169"/>
        <v>0</v>
      </c>
      <c r="HK136" s="201">
        <f t="shared" ca="1" si="1170"/>
        <v>0</v>
      </c>
      <c r="HL136" s="201">
        <f t="shared" ca="1" si="1171"/>
        <v>0</v>
      </c>
      <c r="HM136" s="201">
        <f t="shared" ca="1" si="1172"/>
        <v>0</v>
      </c>
      <c r="HN136" s="201">
        <f t="shared" ca="1" si="1173"/>
        <v>0</v>
      </c>
      <c r="HO136" s="201">
        <f t="shared" ca="1" si="1174"/>
        <v>0</v>
      </c>
      <c r="HP136" s="201">
        <f t="shared" ca="1" si="1175"/>
        <v>0</v>
      </c>
      <c r="HQ136" s="54"/>
    </row>
    <row r="137" spans="1:225" s="507" customFormat="1" x14ac:dyDescent="0.3">
      <c r="A137" s="513">
        <v>119</v>
      </c>
      <c r="B137" s="514" t="s">
        <v>542</v>
      </c>
      <c r="C137" s="514" t="s">
        <v>390</v>
      </c>
      <c r="D137" s="514" t="s">
        <v>390</v>
      </c>
      <c r="E137" s="513">
        <v>0</v>
      </c>
      <c r="F137" s="515">
        <v>6.01</v>
      </c>
      <c r="G137" s="515">
        <v>6</v>
      </c>
      <c r="H137" s="513">
        <v>8</v>
      </c>
      <c r="I137" s="517">
        <v>1</v>
      </c>
      <c r="J137" s="518" t="s">
        <v>295</v>
      </c>
      <c r="K137" s="513">
        <f t="shared" si="1452"/>
        <v>220</v>
      </c>
      <c r="L137" s="519">
        <v>7.5</v>
      </c>
      <c r="M137" s="519">
        <v>6.52</v>
      </c>
      <c r="N137" s="519">
        <v>6.22</v>
      </c>
      <c r="O137" s="519">
        <v>5.92</v>
      </c>
      <c r="P137" s="519">
        <v>5.47</v>
      </c>
      <c r="Q137" s="519">
        <v>5</v>
      </c>
      <c r="R137" s="519">
        <v>4.2</v>
      </c>
      <c r="S137" s="519">
        <v>0</v>
      </c>
      <c r="T137" s="519">
        <v>0</v>
      </c>
      <c r="U137" s="519">
        <v>0</v>
      </c>
      <c r="V137" s="536"/>
      <c r="W137" s="536"/>
      <c r="X137" s="536"/>
      <c r="Y137" s="536"/>
      <c r="Z137" s="536"/>
      <c r="AA137" s="536"/>
      <c r="AB137" s="536"/>
      <c r="AC137" s="536"/>
      <c r="AD137" s="536"/>
      <c r="AE137" s="536"/>
      <c r="AG137" s="522" t="str">
        <f t="shared" si="1253"/>
        <v>Com1</v>
      </c>
      <c r="AH137" s="522">
        <f t="shared" si="1112"/>
        <v>5</v>
      </c>
      <c r="AI137" s="522">
        <f t="shared" si="1453"/>
        <v>1</v>
      </c>
      <c r="AK137" s="523">
        <f>IFERROR(IF(H137&gt;4,0,AI137*Inputs!$C$55),0)</f>
        <v>0</v>
      </c>
      <c r="AL137" s="510">
        <f>IFERROR(Inputs!$C$73,0)</f>
        <v>5</v>
      </c>
      <c r="AM137" s="524">
        <f>IFERROR(Inputs!$C$74,0)</f>
        <v>0.24299999999999999</v>
      </c>
      <c r="AN137" s="525">
        <f>IFERROR(HLOOKUP(HLOOKUP(AN$17,$V$18:$AE137,COUNTA($AK$18:$AK137),FALSE),Inputs!$B$58:$H$59,2,FALSE),0)</f>
        <v>0</v>
      </c>
      <c r="AO137" s="526">
        <f t="shared" si="1113"/>
        <v>0</v>
      </c>
      <c r="AP137" s="526">
        <f t="shared" si="1114"/>
        <v>0</v>
      </c>
      <c r="AQ137" s="525">
        <f>IFERROR(HLOOKUP(HLOOKUP(AQ$17,$V$18:$AE137,COUNTA($AK$18:$AK137),FALSE),Inputs!$B$58:$H$59,2,FALSE),0)</f>
        <v>0</v>
      </c>
      <c r="AR137" s="526">
        <f t="shared" ref="AR137" si="1681">2*$AK137*AQ137*$AL137/100*$AM137</f>
        <v>0</v>
      </c>
      <c r="AS137" s="526">
        <f t="shared" si="1116"/>
        <v>0</v>
      </c>
      <c r="AT137" s="525">
        <f>IFERROR(HLOOKUP(HLOOKUP(AT$17,$V$18:$AE137,COUNTA($AK$18:$AK137),FALSE),Inputs!$B$58:$H$59,2,FALSE),0)</f>
        <v>0</v>
      </c>
      <c r="AU137" s="526">
        <f t="shared" ref="AU137" si="1682">2*$AK137*AT137*$AL137/100*$AM137</f>
        <v>0</v>
      </c>
      <c r="AV137" s="526">
        <f t="shared" si="1118"/>
        <v>0</v>
      </c>
      <c r="AW137" s="525">
        <f>IFERROR(HLOOKUP(HLOOKUP(AW$17,$V$18:$AE137,COUNTA($AK$18:$AK137),FALSE),Inputs!$B$58:$H$59,2,FALSE),0)</f>
        <v>0</v>
      </c>
      <c r="AX137" s="526">
        <f t="shared" ref="AX137" si="1683">2*$AK137*AW137*$AL137/100*$AM137</f>
        <v>0</v>
      </c>
      <c r="AY137" s="526">
        <f t="shared" si="1120"/>
        <v>0</v>
      </c>
      <c r="AZ137" s="525">
        <f>IFERROR(HLOOKUP(HLOOKUP(AZ$17,$V$18:$AE137,COUNTA($AK$18:$AK137),FALSE),Inputs!$B$58:$H$59,2,FALSE),0)</f>
        <v>0</v>
      </c>
      <c r="BA137" s="526">
        <f t="shared" ref="BA137" si="1684">2*$AK137*AZ137*$AL137/100*$AM137</f>
        <v>0</v>
      </c>
      <c r="BB137" s="526">
        <f t="shared" si="1122"/>
        <v>0</v>
      </c>
      <c r="BC137" s="525">
        <f>IFERROR(HLOOKUP(HLOOKUP(BC$17,$V$18:$AE137,COUNTA($AK$18:$AK137),FALSE),Inputs!$B$58:$H$59,2,FALSE),0)</f>
        <v>0</v>
      </c>
      <c r="BD137" s="526">
        <f t="shared" ref="BD137" si="1685">2*$AK137*BC137*$AL137/100*$AM137</f>
        <v>0</v>
      </c>
      <c r="BE137" s="526">
        <f t="shared" si="1124"/>
        <v>0</v>
      </c>
      <c r="BF137" s="525">
        <f>IFERROR(HLOOKUP(HLOOKUP(BF$17,$V$18:$AE137,COUNTA($AK$18:$AK137),FALSE),Inputs!$B$58:$H$59,2,FALSE),0)</f>
        <v>0</v>
      </c>
      <c r="BG137" s="526">
        <f t="shared" ref="BG137" si="1686">2*$AK137*BF137*$AL137/100*$AM137</f>
        <v>0</v>
      </c>
      <c r="BH137" s="526">
        <f t="shared" si="1126"/>
        <v>0</v>
      </c>
      <c r="BI137" s="525">
        <f>IFERROR(HLOOKUP(HLOOKUP(BI$17,$V$18:$AE137,COUNTA($AK$18:$AK137),FALSE),Inputs!$B$58:$H$59,2,FALSE),0)</f>
        <v>0</v>
      </c>
      <c r="BJ137" s="526">
        <f t="shared" ref="BJ137" si="1687">2*$AK137*BI137*$AL137/100*$AM137</f>
        <v>0</v>
      </c>
      <c r="BK137" s="526">
        <f t="shared" si="1128"/>
        <v>0</v>
      </c>
      <c r="BL137" s="525">
        <f>IFERROR(HLOOKUP(HLOOKUP(BL$17,$V$18:$AE137,COUNTA($AK$18:$AK137),FALSE),Inputs!$B$58:$H$59,2,FALSE),0)</f>
        <v>0</v>
      </c>
      <c r="BM137" s="526">
        <f t="shared" ref="BM137" si="1688">2*$AK137*BL137*$AL137/100*$AM137</f>
        <v>0</v>
      </c>
      <c r="BN137" s="526">
        <f t="shared" si="1130"/>
        <v>0</v>
      </c>
      <c r="BO137" s="525">
        <f>IFERROR(HLOOKUP(HLOOKUP(BO$17,$V$18:$AE137,COUNTA($AK$18:$AK137),FALSE),Inputs!$B$58:$H$59,2,FALSE),0)</f>
        <v>0</v>
      </c>
      <c r="BP137" s="526">
        <f t="shared" ref="BP137" si="1689">2*$AK137*BO137*$AL137/100*$AM137</f>
        <v>0</v>
      </c>
      <c r="BQ137" s="526">
        <f t="shared" si="1132"/>
        <v>0</v>
      </c>
      <c r="BS137" s="527">
        <f t="shared" ca="1" si="1203"/>
        <v>1388.5837716737833</v>
      </c>
      <c r="BT137" s="527">
        <f t="shared" ca="1" si="1204"/>
        <v>0</v>
      </c>
      <c r="BU137" s="527">
        <f t="shared" si="1205"/>
        <v>0</v>
      </c>
      <c r="BV137" s="527">
        <f t="shared" si="1206"/>
        <v>0</v>
      </c>
      <c r="BW137" s="528">
        <f t="shared" ca="1" si="1207"/>
        <v>1388.5837716737833</v>
      </c>
      <c r="BX137" s="529"/>
      <c r="DD137" s="530">
        <f t="shared" si="1133"/>
        <v>1.4900000000000002</v>
      </c>
      <c r="DE137" s="530">
        <f t="shared" si="1134"/>
        <v>0.50999999999999979</v>
      </c>
      <c r="DF137" s="530">
        <f t="shared" si="1135"/>
        <v>0.20999999999999996</v>
      </c>
      <c r="DG137" s="530">
        <f t="shared" si="1136"/>
        <v>-8.9999999999999858E-2</v>
      </c>
      <c r="DH137" s="530">
        <f t="shared" si="1137"/>
        <v>-0.3</v>
      </c>
      <c r="DI137" s="530">
        <f t="shared" si="1138"/>
        <v>-0.3</v>
      </c>
      <c r="DJ137" s="530">
        <f t="shared" si="1139"/>
        <v>-0.3</v>
      </c>
      <c r="DK137" s="530">
        <f t="shared" si="1140"/>
        <v>-0.3</v>
      </c>
      <c r="DL137" s="530">
        <f t="shared" si="1141"/>
        <v>-0.3</v>
      </c>
      <c r="DM137" s="530">
        <f t="shared" si="1142"/>
        <v>-0.3</v>
      </c>
      <c r="DN137" s="531">
        <f t="shared" si="1143"/>
        <v>1.5</v>
      </c>
      <c r="DO137" s="531">
        <f t="shared" si="1144"/>
        <v>0.51999999999999957</v>
      </c>
      <c r="DP137" s="531">
        <f t="shared" si="1145"/>
        <v>0.21999999999999975</v>
      </c>
      <c r="DQ137" s="531">
        <f t="shared" si="1146"/>
        <v>0</v>
      </c>
      <c r="DR137" s="531">
        <f t="shared" si="1147"/>
        <v>0</v>
      </c>
      <c r="DS137" s="531">
        <f t="shared" si="1148"/>
        <v>0</v>
      </c>
      <c r="DT137" s="531">
        <f t="shared" si="1149"/>
        <v>0</v>
      </c>
      <c r="DU137" s="531">
        <f t="shared" si="1150"/>
        <v>0</v>
      </c>
      <c r="DV137" s="531">
        <f t="shared" si="1151"/>
        <v>0</v>
      </c>
      <c r="DW137" s="531">
        <f t="shared" si="1152"/>
        <v>0</v>
      </c>
      <c r="DZ137" s="532">
        <f t="shared" ca="1" si="1463"/>
        <v>421678.08881298034</v>
      </c>
      <c r="EA137" s="533">
        <f t="shared" si="1153"/>
        <v>1</v>
      </c>
      <c r="EB137" s="534">
        <f t="shared" ca="1" si="1464"/>
        <v>0</v>
      </c>
      <c r="EC137" s="533">
        <f t="shared" si="1154"/>
        <v>1</v>
      </c>
      <c r="ED137" s="534" cm="1">
        <f t="array" ref="ED137">IF(LEFT($AG137,3)="Res",IF(OR($DN137&gt;External_Threshold,$DD137&gt;0),1*Uplift*AWE*(External),0),0)</f>
        <v>0</v>
      </c>
      <c r="EE137" s="533">
        <f t="shared" si="1155"/>
        <v>1</v>
      </c>
      <c r="EF137" s="534">
        <f t="shared" si="1465"/>
        <v>0</v>
      </c>
      <c r="EG137" s="535">
        <f t="shared" si="1156"/>
        <v>0</v>
      </c>
      <c r="EH137" s="532">
        <f t="shared" ca="1" si="1466"/>
        <v>204034.5960717336</v>
      </c>
      <c r="EI137" s="533">
        <f t="shared" si="1059"/>
        <v>1</v>
      </c>
      <c r="EJ137" s="534">
        <f t="shared" ca="1" si="1467"/>
        <v>0</v>
      </c>
      <c r="EK137" s="533">
        <f t="shared" si="1061"/>
        <v>1</v>
      </c>
      <c r="EL137" s="534" cm="1">
        <f t="array" ref="EL137">IF(LEFT($AG137,3)="Res",IF(OR($DO137&gt;External_Threshold,$DE137&gt;0),1*Uplift*AWE*(External),0),0)</f>
        <v>0</v>
      </c>
      <c r="EM137" s="533">
        <f t="shared" si="1062"/>
        <v>1</v>
      </c>
      <c r="EN137" s="534">
        <f t="shared" si="1468"/>
        <v>0</v>
      </c>
      <c r="EO137" s="535">
        <f t="shared" si="1157"/>
        <v>0</v>
      </c>
      <c r="EP137" s="532">
        <f t="shared" ca="1" si="1469"/>
        <v>114986.9390264731</v>
      </c>
      <c r="EQ137" s="533">
        <f t="shared" si="1065"/>
        <v>1</v>
      </c>
      <c r="ER137" s="534">
        <f t="shared" ca="1" si="1470"/>
        <v>0</v>
      </c>
      <c r="ES137" s="533">
        <f t="shared" si="1067"/>
        <v>1</v>
      </c>
      <c r="ET137" s="534" cm="1">
        <f t="array" ref="ET137">IF(LEFT($AG137,3)="Res",IF(OR($DP137&gt;External_Threshold,$DF137&gt;0),1*Uplift*AWE*(External),0),0)</f>
        <v>0</v>
      </c>
      <c r="EU137" s="533">
        <f t="shared" si="1068"/>
        <v>1</v>
      </c>
      <c r="EV137" s="534">
        <f t="shared" si="1471"/>
        <v>0</v>
      </c>
      <c r="EW137" s="535">
        <f t="shared" si="1158"/>
        <v>0</v>
      </c>
      <c r="EX137" s="532">
        <f t="shared" ca="1" si="1472"/>
        <v>0</v>
      </c>
      <c r="EY137" s="533">
        <f t="shared" si="1071"/>
        <v>0</v>
      </c>
      <c r="EZ137" s="534">
        <f t="shared" ca="1" si="1473"/>
        <v>0</v>
      </c>
      <c r="FA137" s="533">
        <f t="shared" si="1073"/>
        <v>0</v>
      </c>
      <c r="FB137" s="534" cm="1">
        <f t="array" ref="FB137">IF(LEFT($AG137,3)="Res",IF(OR($DQ137&gt;External_Threshold,$DG137&gt;0),1*Uplift*AWE*(External),0),0)</f>
        <v>0</v>
      </c>
      <c r="FC137" s="533">
        <f t="shared" si="1074"/>
        <v>0</v>
      </c>
      <c r="FD137" s="534">
        <f t="shared" si="1075"/>
        <v>0</v>
      </c>
      <c r="FE137" s="535">
        <f t="shared" si="1159"/>
        <v>0</v>
      </c>
      <c r="FF137" s="532">
        <f t="shared" ca="1" si="1474"/>
        <v>0</v>
      </c>
      <c r="FG137" s="533">
        <f t="shared" si="1077"/>
        <v>0</v>
      </c>
      <c r="FH137" s="534">
        <f t="shared" ca="1" si="1475"/>
        <v>0</v>
      </c>
      <c r="FI137" s="533">
        <f t="shared" si="1079"/>
        <v>0</v>
      </c>
      <c r="FJ137" s="534" cm="1">
        <f t="array" ref="FJ137">IF(LEFT($AG137,3)="Res",IF(OR($DR137&gt;External_Threshold,$DH137&gt;0),1*Uplift*AWE*(External),0),0)</f>
        <v>0</v>
      </c>
      <c r="FK137" s="533">
        <f t="shared" si="1080"/>
        <v>0</v>
      </c>
      <c r="FL137" s="534">
        <f t="shared" si="1476"/>
        <v>0</v>
      </c>
      <c r="FM137" s="535">
        <f t="shared" si="1160"/>
        <v>0</v>
      </c>
      <c r="FN137" s="532">
        <f t="shared" ca="1" si="1477"/>
        <v>0</v>
      </c>
      <c r="FO137" s="533">
        <f t="shared" si="1083"/>
        <v>0</v>
      </c>
      <c r="FP137" s="534">
        <f t="shared" ca="1" si="1478"/>
        <v>0</v>
      </c>
      <c r="FQ137" s="533">
        <f t="shared" si="1085"/>
        <v>0</v>
      </c>
      <c r="FR137" s="534" cm="1">
        <f t="array" ref="FR137">IF(LEFT($AG137,3)="Res",IF(OR($DS137&gt;External_Threshold,$DI137&gt;0),1*Uplift*AWE*(External),0),0)</f>
        <v>0</v>
      </c>
      <c r="FS137" s="533">
        <f t="shared" si="1086"/>
        <v>0</v>
      </c>
      <c r="FT137" s="534">
        <f t="shared" si="1479"/>
        <v>0</v>
      </c>
      <c r="FU137" s="535">
        <f t="shared" si="1161"/>
        <v>0</v>
      </c>
      <c r="FV137" s="532">
        <f t="shared" ca="1" si="1480"/>
        <v>0</v>
      </c>
      <c r="FW137" s="533">
        <f t="shared" si="1089"/>
        <v>0</v>
      </c>
      <c r="FX137" s="534">
        <f t="shared" ca="1" si="1481"/>
        <v>0</v>
      </c>
      <c r="FY137" s="533">
        <f t="shared" si="1091"/>
        <v>0</v>
      </c>
      <c r="FZ137" s="534" cm="1">
        <f t="array" ref="FZ137">IF(LEFT($AG137,3)="Res",IF(OR($DT137&gt;External_Threshold,$DJ137&gt;0),1*Uplift*AWE*(External),0),0)</f>
        <v>0</v>
      </c>
      <c r="GA137" s="533">
        <f t="shared" si="1092"/>
        <v>0</v>
      </c>
      <c r="GB137" s="534">
        <f t="shared" si="1482"/>
        <v>0</v>
      </c>
      <c r="GC137" s="535">
        <f t="shared" si="1162"/>
        <v>0</v>
      </c>
      <c r="GD137" s="532">
        <f t="shared" ca="1" si="1483"/>
        <v>0</v>
      </c>
      <c r="GE137" s="533">
        <f t="shared" si="1095"/>
        <v>0</v>
      </c>
      <c r="GF137" s="534">
        <f t="shared" ca="1" si="1484"/>
        <v>0</v>
      </c>
      <c r="GG137" s="533">
        <f t="shared" si="1097"/>
        <v>0</v>
      </c>
      <c r="GH137" s="534" cm="1">
        <f t="array" ref="GH137">IF(LEFT($AG137,3)="Res",IF(OR($DU137&gt;External_Threshold,$DK137&gt;0),1*Uplift*AWE*(External),0),0)</f>
        <v>0</v>
      </c>
      <c r="GI137" s="533">
        <f t="shared" si="1098"/>
        <v>0</v>
      </c>
      <c r="GJ137" s="534">
        <f t="shared" si="1485"/>
        <v>0</v>
      </c>
      <c r="GK137" s="535">
        <f t="shared" si="1163"/>
        <v>0</v>
      </c>
      <c r="GL137" s="532">
        <f t="shared" ca="1" si="1486"/>
        <v>0</v>
      </c>
      <c r="GM137" s="533">
        <f t="shared" si="1101"/>
        <v>0</v>
      </c>
      <c r="GN137" s="534">
        <f t="shared" ca="1" si="1487"/>
        <v>0</v>
      </c>
      <c r="GO137" s="533">
        <f t="shared" si="1103"/>
        <v>0</v>
      </c>
      <c r="GP137" s="534" cm="1">
        <f t="array" ref="GP137">IF(LEFT($AG137,3)="Res",IF(OR($DV137&gt;External_Threshold,$DL137&gt;0),1*Uplift*AWE*(External),0),0)</f>
        <v>0</v>
      </c>
      <c r="GQ137" s="533">
        <f t="shared" si="1104"/>
        <v>0</v>
      </c>
      <c r="GR137" s="534">
        <f t="shared" si="1488"/>
        <v>0</v>
      </c>
      <c r="GS137" s="535">
        <f t="shared" si="1164"/>
        <v>0</v>
      </c>
      <c r="GT137" s="532">
        <f t="shared" ca="1" si="1489"/>
        <v>0</v>
      </c>
      <c r="GU137" s="533">
        <f t="shared" si="1107"/>
        <v>0</v>
      </c>
      <c r="GV137" s="534">
        <f t="shared" ca="1" si="1490"/>
        <v>0</v>
      </c>
      <c r="GW137" s="533">
        <f t="shared" si="1109"/>
        <v>0</v>
      </c>
      <c r="GX137" s="534" cm="1">
        <f t="array" ref="GX137">IF(LEFT($AG137,3)="Res",IF(OR($DW137&gt;External_Threshold,$DM137&gt;0),1*Uplift*AWE*(External),0),0)</f>
        <v>0</v>
      </c>
      <c r="GY137" s="533">
        <f t="shared" si="1110"/>
        <v>0</v>
      </c>
      <c r="GZ137" s="534">
        <f t="shared" si="1491"/>
        <v>0</v>
      </c>
      <c r="HA137" s="535">
        <f t="shared" si="1165"/>
        <v>0</v>
      </c>
      <c r="HG137" s="534">
        <f t="shared" ca="1" si="1166"/>
        <v>421678.08881298034</v>
      </c>
      <c r="HH137" s="534">
        <f t="shared" ca="1" si="1167"/>
        <v>204034.5960717336</v>
      </c>
      <c r="HI137" s="534">
        <f t="shared" ca="1" si="1168"/>
        <v>114986.9390264731</v>
      </c>
      <c r="HJ137" s="534">
        <f t="shared" ca="1" si="1169"/>
        <v>0</v>
      </c>
      <c r="HK137" s="534">
        <f t="shared" ca="1" si="1170"/>
        <v>0</v>
      </c>
      <c r="HL137" s="534">
        <f t="shared" ca="1" si="1171"/>
        <v>0</v>
      </c>
      <c r="HM137" s="534">
        <f t="shared" ca="1" si="1172"/>
        <v>0</v>
      </c>
      <c r="HN137" s="534">
        <f t="shared" ca="1" si="1173"/>
        <v>0</v>
      </c>
      <c r="HO137" s="534">
        <f t="shared" ca="1" si="1174"/>
        <v>0</v>
      </c>
      <c r="HP137" s="534">
        <f t="shared" ca="1" si="1175"/>
        <v>0</v>
      </c>
    </row>
    <row r="138" spans="1:225" s="507" customFormat="1" x14ac:dyDescent="0.3">
      <c r="A138" s="509"/>
      <c r="B138" s="537"/>
      <c r="C138" s="537"/>
      <c r="D138" s="509"/>
      <c r="E138" s="509"/>
      <c r="F138" s="509"/>
      <c r="G138" s="509"/>
      <c r="H138" s="509"/>
      <c r="I138" s="509"/>
      <c r="K138" s="512"/>
      <c r="L138" s="538"/>
      <c r="M138" s="538"/>
      <c r="N138" s="538"/>
      <c r="O138" s="538"/>
      <c r="P138" s="538"/>
      <c r="Q138" s="538"/>
      <c r="R138" s="538"/>
      <c r="S138" s="538"/>
      <c r="T138" s="538"/>
      <c r="U138" s="538"/>
      <c r="V138" s="536"/>
      <c r="W138" s="536"/>
      <c r="X138" s="536"/>
      <c r="Y138" s="536"/>
      <c r="Z138" s="536"/>
      <c r="AA138" s="536"/>
      <c r="AB138" s="536"/>
      <c r="AC138" s="536"/>
      <c r="AD138" s="536"/>
      <c r="AE138" s="536"/>
      <c r="AG138" s="522"/>
      <c r="AH138" s="522"/>
      <c r="AI138" s="522"/>
      <c r="AK138" s="523"/>
      <c r="AL138" s="510"/>
      <c r="AM138" s="524"/>
      <c r="AN138" s="539"/>
      <c r="AO138" s="540"/>
      <c r="AP138" s="540"/>
      <c r="AQ138" s="539"/>
      <c r="AR138" s="540"/>
      <c r="AS138" s="540"/>
      <c r="AT138" s="539"/>
      <c r="AU138" s="540"/>
      <c r="AV138" s="540"/>
      <c r="AW138" s="539"/>
      <c r="AX138" s="540"/>
      <c r="AY138" s="540"/>
      <c r="AZ138" s="539"/>
      <c r="BA138" s="540"/>
      <c r="BB138" s="540"/>
      <c r="BC138" s="539"/>
      <c r="BD138" s="540"/>
      <c r="BE138" s="540"/>
      <c r="BF138" s="539"/>
      <c r="BG138" s="540"/>
      <c r="BH138" s="540"/>
      <c r="BI138" s="539"/>
      <c r="BJ138" s="540"/>
      <c r="BK138" s="540"/>
      <c r="BL138" s="539"/>
      <c r="BM138" s="540"/>
      <c r="BN138" s="540"/>
      <c r="BO138" s="539"/>
      <c r="BP138" s="540"/>
      <c r="BQ138" s="540"/>
      <c r="BS138" s="527"/>
      <c r="BT138" s="527"/>
      <c r="BU138" s="527"/>
      <c r="BV138" s="527"/>
      <c r="BW138" s="528"/>
      <c r="BX138" s="529" t="s">
        <v>368</v>
      </c>
      <c r="DD138" s="530"/>
      <c r="DE138" s="530"/>
      <c r="DF138" s="530"/>
      <c r="DG138" s="530"/>
      <c r="DH138" s="530"/>
      <c r="DI138" s="530"/>
      <c r="DJ138" s="530"/>
      <c r="DK138" s="530"/>
      <c r="DL138" s="530"/>
      <c r="DM138" s="530"/>
      <c r="DN138" s="531"/>
      <c r="DO138" s="531"/>
      <c r="DP138" s="531"/>
      <c r="DQ138" s="531"/>
      <c r="DR138" s="531"/>
      <c r="DS138" s="531"/>
      <c r="DT138" s="531"/>
      <c r="DU138" s="531"/>
      <c r="DV138" s="531"/>
      <c r="DW138" s="531"/>
      <c r="DZ138" s="532"/>
      <c r="EA138" s="533"/>
      <c r="EB138" s="534"/>
      <c r="EC138" s="533"/>
      <c r="ED138" s="534"/>
      <c r="EE138" s="533"/>
      <c r="EF138" s="534"/>
      <c r="EG138" s="535"/>
      <c r="EH138" s="532"/>
      <c r="EI138" s="533"/>
      <c r="EJ138" s="534"/>
      <c r="EK138" s="533"/>
      <c r="EL138" s="534"/>
      <c r="EM138" s="533"/>
      <c r="EN138" s="534"/>
      <c r="EO138" s="535"/>
      <c r="EP138" s="532"/>
      <c r="EQ138" s="533"/>
      <c r="ER138" s="534"/>
      <c r="ES138" s="533"/>
      <c r="ET138" s="534"/>
      <c r="EU138" s="533"/>
      <c r="EV138" s="534"/>
      <c r="EW138" s="535"/>
      <c r="EX138" s="532"/>
      <c r="EY138" s="533"/>
      <c r="EZ138" s="534"/>
      <c r="FA138" s="533"/>
      <c r="FB138" s="534"/>
      <c r="FC138" s="533"/>
      <c r="FD138" s="534"/>
      <c r="FE138" s="535"/>
      <c r="FF138" s="532"/>
      <c r="FG138" s="533"/>
      <c r="FH138" s="534"/>
      <c r="FI138" s="533"/>
      <c r="FJ138" s="534"/>
      <c r="FK138" s="533"/>
      <c r="FL138" s="534"/>
      <c r="FM138" s="535"/>
      <c r="FN138" s="532"/>
      <c r="FO138" s="533"/>
      <c r="FP138" s="534"/>
      <c r="FQ138" s="533"/>
      <c r="FR138" s="534"/>
      <c r="FS138" s="533"/>
      <c r="FT138" s="534"/>
      <c r="FU138" s="535"/>
      <c r="FV138" s="532"/>
      <c r="FW138" s="533"/>
      <c r="FX138" s="534"/>
      <c r="FY138" s="533"/>
      <c r="FZ138" s="534"/>
      <c r="GA138" s="533"/>
      <c r="GB138" s="534"/>
      <c r="GC138" s="535"/>
      <c r="GD138" s="532"/>
      <c r="GE138" s="533"/>
      <c r="GF138" s="534"/>
      <c r="GG138" s="533"/>
      <c r="GH138" s="534"/>
      <c r="GI138" s="533"/>
      <c r="GJ138" s="534"/>
      <c r="GK138" s="535"/>
      <c r="GL138" s="532"/>
      <c r="GM138" s="533"/>
      <c r="GN138" s="534"/>
      <c r="GO138" s="533"/>
      <c r="GP138" s="534"/>
      <c r="GQ138" s="533"/>
      <c r="GR138" s="534"/>
      <c r="GS138" s="535"/>
      <c r="GT138" s="532"/>
      <c r="GU138" s="533"/>
      <c r="GV138" s="534"/>
      <c r="GW138" s="533"/>
      <c r="GX138" s="534"/>
      <c r="GY138" s="533"/>
      <c r="GZ138" s="534"/>
      <c r="HA138" s="535"/>
      <c r="HG138" s="534"/>
      <c r="HH138" s="534"/>
      <c r="HI138" s="534"/>
      <c r="HJ138" s="534"/>
      <c r="HK138" s="534"/>
      <c r="HL138" s="534"/>
      <c r="HM138" s="534"/>
      <c r="HN138" s="534"/>
      <c r="HO138" s="534"/>
      <c r="HP138" s="534"/>
    </row>
    <row r="139" spans="1:225" s="507" customFormat="1" x14ac:dyDescent="0.3">
      <c r="A139" s="509"/>
      <c r="B139" s="537"/>
      <c r="C139" s="537"/>
      <c r="D139" s="509"/>
      <c r="E139" s="509"/>
      <c r="F139" s="509"/>
      <c r="G139" s="509"/>
      <c r="H139" s="509"/>
      <c r="I139" s="509"/>
      <c r="K139" s="512"/>
      <c r="L139" s="538"/>
      <c r="M139" s="538"/>
      <c r="N139" s="538"/>
      <c r="O139" s="538"/>
      <c r="P139" s="538"/>
      <c r="Q139" s="538"/>
      <c r="R139" s="538"/>
      <c r="S139" s="538"/>
      <c r="T139" s="538"/>
      <c r="U139" s="538"/>
      <c r="V139" s="536"/>
      <c r="W139" s="536"/>
      <c r="X139" s="536"/>
      <c r="Y139" s="536"/>
      <c r="Z139" s="536"/>
      <c r="AA139" s="536"/>
      <c r="AB139" s="536"/>
      <c r="AC139" s="536"/>
      <c r="AD139" s="536"/>
      <c r="AE139" s="536"/>
      <c r="AG139" s="522"/>
      <c r="AH139" s="522"/>
      <c r="AI139" s="522"/>
      <c r="AK139" s="523"/>
      <c r="AL139" s="510"/>
      <c r="AM139" s="524"/>
      <c r="AN139" s="539"/>
      <c r="AO139" s="540"/>
      <c r="AP139" s="540"/>
      <c r="AQ139" s="539"/>
      <c r="AR139" s="540"/>
      <c r="AS139" s="540"/>
      <c r="AT139" s="539"/>
      <c r="AU139" s="540"/>
      <c r="AV139" s="540"/>
      <c r="AW139" s="539"/>
      <c r="AX139" s="540"/>
      <c r="AY139" s="540"/>
      <c r="AZ139" s="539"/>
      <c r="BA139" s="540"/>
      <c r="BB139" s="540"/>
      <c r="BC139" s="539"/>
      <c r="BD139" s="540"/>
      <c r="BE139" s="540"/>
      <c r="BF139" s="539"/>
      <c r="BG139" s="540"/>
      <c r="BH139" s="540"/>
      <c r="BI139" s="539"/>
      <c r="BJ139" s="540"/>
      <c r="BK139" s="540"/>
      <c r="BL139" s="539"/>
      <c r="BM139" s="540"/>
      <c r="BN139" s="540"/>
      <c r="BO139" s="539"/>
      <c r="BP139" s="540"/>
      <c r="BQ139" s="540"/>
      <c r="BS139" s="527"/>
      <c r="BT139" s="527"/>
      <c r="BU139" s="527"/>
      <c r="BV139" s="527"/>
      <c r="BW139" s="528"/>
      <c r="DD139" s="530"/>
      <c r="DE139" s="530"/>
      <c r="DF139" s="530"/>
      <c r="DG139" s="530"/>
      <c r="DH139" s="530"/>
      <c r="DI139" s="530"/>
      <c r="DJ139" s="530"/>
      <c r="DK139" s="530"/>
      <c r="DL139" s="530"/>
      <c r="DM139" s="530"/>
      <c r="DN139" s="531"/>
      <c r="DO139" s="531"/>
      <c r="DP139" s="531"/>
      <c r="DQ139" s="531"/>
      <c r="DR139" s="531"/>
      <c r="DS139" s="531"/>
      <c r="DT139" s="531"/>
      <c r="DU139" s="531"/>
      <c r="DV139" s="531"/>
      <c r="DW139" s="531"/>
      <c r="DZ139" s="532"/>
      <c r="EA139" s="533"/>
      <c r="EB139" s="534"/>
      <c r="EC139" s="533"/>
      <c r="ED139" s="534"/>
      <c r="EE139" s="533"/>
      <c r="EF139" s="534"/>
      <c r="EG139" s="535"/>
      <c r="EH139" s="532"/>
      <c r="EI139" s="533"/>
      <c r="EJ139" s="534"/>
      <c r="EK139" s="533"/>
      <c r="EL139" s="534"/>
      <c r="EM139" s="533"/>
      <c r="EN139" s="534"/>
      <c r="EO139" s="535"/>
      <c r="EP139" s="532"/>
      <c r="EQ139" s="533"/>
      <c r="ER139" s="534"/>
      <c r="ES139" s="533"/>
      <c r="ET139" s="534"/>
      <c r="EU139" s="533"/>
      <c r="EV139" s="534"/>
      <c r="EW139" s="535"/>
      <c r="EX139" s="532"/>
      <c r="EY139" s="533"/>
      <c r="EZ139" s="534"/>
      <c r="FA139" s="533"/>
      <c r="FB139" s="534"/>
      <c r="FC139" s="533"/>
      <c r="FD139" s="534"/>
      <c r="FE139" s="535"/>
      <c r="FF139" s="532"/>
      <c r="FG139" s="533"/>
      <c r="FH139" s="534"/>
      <c r="FI139" s="533"/>
      <c r="FJ139" s="534"/>
      <c r="FK139" s="533"/>
      <c r="FL139" s="534"/>
      <c r="FM139" s="535"/>
      <c r="FN139" s="532"/>
      <c r="FO139" s="533"/>
      <c r="FP139" s="534"/>
      <c r="FQ139" s="533"/>
      <c r="FR139" s="534"/>
      <c r="FS139" s="533"/>
      <c r="FT139" s="534"/>
      <c r="FU139" s="535"/>
      <c r="FV139" s="532"/>
      <c r="FW139" s="533"/>
      <c r="FX139" s="534"/>
      <c r="FY139" s="533"/>
      <c r="FZ139" s="534"/>
      <c r="GA139" s="533"/>
      <c r="GB139" s="534"/>
      <c r="GC139" s="535"/>
      <c r="GD139" s="532"/>
      <c r="GE139" s="533"/>
      <c r="GF139" s="534"/>
      <c r="GG139" s="533"/>
      <c r="GH139" s="534"/>
      <c r="GI139" s="533"/>
      <c r="GJ139" s="534"/>
      <c r="GK139" s="535"/>
      <c r="GL139" s="532"/>
      <c r="GM139" s="533"/>
      <c r="GN139" s="534"/>
      <c r="GO139" s="533"/>
      <c r="GP139" s="534"/>
      <c r="GQ139" s="533"/>
      <c r="GR139" s="534"/>
      <c r="GS139" s="535"/>
      <c r="GT139" s="532"/>
      <c r="GU139" s="533"/>
      <c r="GV139" s="534"/>
      <c r="GW139" s="533"/>
      <c r="GX139" s="534"/>
      <c r="GY139" s="533"/>
      <c r="GZ139" s="534"/>
      <c r="HA139" s="535"/>
      <c r="HG139" s="534"/>
      <c r="HH139" s="534"/>
      <c r="HI139" s="534"/>
      <c r="HJ139" s="534"/>
      <c r="HK139" s="534"/>
      <c r="HL139" s="534"/>
      <c r="HM139" s="534"/>
      <c r="HN139" s="534"/>
      <c r="HO139" s="534"/>
      <c r="HP139" s="534"/>
    </row>
    <row r="140" spans="1:225" s="507" customFormat="1" x14ac:dyDescent="0.3">
      <c r="A140" s="509"/>
      <c r="B140" s="537"/>
      <c r="C140" s="537"/>
      <c r="D140" s="509"/>
      <c r="E140" s="509"/>
      <c r="F140" s="509"/>
      <c r="G140" s="509"/>
      <c r="H140" s="509"/>
      <c r="I140" s="509"/>
      <c r="K140" s="512"/>
      <c r="L140" s="538"/>
      <c r="M140" s="538"/>
      <c r="N140" s="538"/>
      <c r="O140" s="538"/>
      <c r="P140" s="538"/>
      <c r="Q140" s="538"/>
      <c r="R140" s="538"/>
      <c r="S140" s="538"/>
      <c r="T140" s="538"/>
      <c r="U140" s="538"/>
      <c r="V140" s="536"/>
      <c r="W140" s="536"/>
      <c r="X140" s="536"/>
      <c r="Y140" s="536"/>
      <c r="Z140" s="536"/>
      <c r="AA140" s="536"/>
      <c r="AB140" s="536"/>
      <c r="AC140" s="536"/>
      <c r="AD140" s="536"/>
      <c r="AE140" s="536"/>
      <c r="AG140" s="522"/>
      <c r="AH140" s="522"/>
      <c r="AI140" s="522"/>
      <c r="AK140" s="523"/>
      <c r="AL140" s="510"/>
      <c r="AM140" s="524"/>
      <c r="AN140" s="539"/>
      <c r="AO140" s="540"/>
      <c r="AP140" s="540"/>
      <c r="AQ140" s="539"/>
      <c r="AR140" s="540"/>
      <c r="AS140" s="540"/>
      <c r="AT140" s="539"/>
      <c r="AU140" s="540"/>
      <c r="AV140" s="540"/>
      <c r="AW140" s="539"/>
      <c r="AX140" s="540"/>
      <c r="AY140" s="540"/>
      <c r="AZ140" s="539"/>
      <c r="BA140" s="540"/>
      <c r="BB140" s="540"/>
      <c r="BC140" s="539"/>
      <c r="BD140" s="540"/>
      <c r="BE140" s="540"/>
      <c r="BF140" s="539"/>
      <c r="BG140" s="540"/>
      <c r="BH140" s="540"/>
      <c r="BI140" s="539"/>
      <c r="BJ140" s="540"/>
      <c r="BK140" s="540"/>
      <c r="BL140" s="539"/>
      <c r="BM140" s="540"/>
      <c r="BN140" s="540"/>
      <c r="BO140" s="539"/>
      <c r="BP140" s="540"/>
      <c r="BQ140" s="540"/>
      <c r="BS140" s="527"/>
      <c r="BT140" s="527"/>
      <c r="BU140" s="527"/>
      <c r="BV140" s="527"/>
      <c r="BW140" s="528"/>
      <c r="DD140" s="530"/>
      <c r="DE140" s="530"/>
      <c r="DF140" s="530"/>
      <c r="DG140" s="530"/>
      <c r="DH140" s="530"/>
      <c r="DI140" s="530"/>
      <c r="DJ140" s="530"/>
      <c r="DK140" s="530"/>
      <c r="DL140" s="530"/>
      <c r="DM140" s="530"/>
      <c r="DN140" s="531"/>
      <c r="DO140" s="531"/>
      <c r="DP140" s="531"/>
      <c r="DQ140" s="531"/>
      <c r="DR140" s="531"/>
      <c r="DS140" s="531"/>
      <c r="DT140" s="531"/>
      <c r="DU140" s="531"/>
      <c r="DV140" s="531"/>
      <c r="DW140" s="531"/>
      <c r="DZ140" s="532"/>
      <c r="EA140" s="533"/>
      <c r="EB140" s="534"/>
      <c r="EC140" s="533"/>
      <c r="ED140" s="534"/>
      <c r="EE140" s="533"/>
      <c r="EF140" s="534"/>
      <c r="EG140" s="535"/>
      <c r="EH140" s="532"/>
      <c r="EI140" s="533"/>
      <c r="EJ140" s="534"/>
      <c r="EK140" s="533"/>
      <c r="EL140" s="534"/>
      <c r="EM140" s="533"/>
      <c r="EN140" s="534"/>
      <c r="EO140" s="535"/>
      <c r="EP140" s="532"/>
      <c r="EQ140" s="533"/>
      <c r="ER140" s="534"/>
      <c r="ES140" s="533"/>
      <c r="ET140" s="534"/>
      <c r="EU140" s="533"/>
      <c r="EV140" s="534"/>
      <c r="EW140" s="535"/>
      <c r="EX140" s="532"/>
      <c r="EY140" s="533"/>
      <c r="EZ140" s="534"/>
      <c r="FA140" s="533"/>
      <c r="FB140" s="534"/>
      <c r="FC140" s="533"/>
      <c r="FD140" s="534"/>
      <c r="FE140" s="535"/>
      <c r="FF140" s="532"/>
      <c r="FG140" s="533"/>
      <c r="FH140" s="534"/>
      <c r="FI140" s="533"/>
      <c r="FJ140" s="534"/>
      <c r="FK140" s="533"/>
      <c r="FL140" s="534"/>
      <c r="FM140" s="535"/>
      <c r="FN140" s="532"/>
      <c r="FO140" s="533"/>
      <c r="FP140" s="534"/>
      <c r="FQ140" s="533"/>
      <c r="FR140" s="534"/>
      <c r="FS140" s="533"/>
      <c r="FT140" s="534"/>
      <c r="FU140" s="535"/>
      <c r="FV140" s="532"/>
      <c r="FW140" s="533"/>
      <c r="FX140" s="534"/>
      <c r="FY140" s="533"/>
      <c r="FZ140" s="534"/>
      <c r="GA140" s="533"/>
      <c r="GB140" s="534"/>
      <c r="GC140" s="535"/>
      <c r="GD140" s="532"/>
      <c r="GE140" s="533"/>
      <c r="GF140" s="534"/>
      <c r="GG140" s="533"/>
      <c r="GH140" s="534"/>
      <c r="GI140" s="533"/>
      <c r="GJ140" s="534"/>
      <c r="GK140" s="535"/>
      <c r="GL140" s="532"/>
      <c r="GM140" s="533"/>
      <c r="GN140" s="534"/>
      <c r="GO140" s="533"/>
      <c r="GP140" s="534"/>
      <c r="GQ140" s="533"/>
      <c r="GR140" s="534"/>
      <c r="GS140" s="535"/>
      <c r="GT140" s="532"/>
      <c r="GU140" s="533"/>
      <c r="GV140" s="534"/>
      <c r="GW140" s="533"/>
      <c r="GX140" s="534"/>
      <c r="GY140" s="533"/>
      <c r="GZ140" s="534"/>
      <c r="HA140" s="535"/>
      <c r="HG140" s="534"/>
      <c r="HH140" s="534"/>
      <c r="HI140" s="534"/>
      <c r="HJ140" s="534"/>
      <c r="HK140" s="534"/>
      <c r="HL140" s="534"/>
      <c r="HM140" s="534"/>
      <c r="HN140" s="534"/>
      <c r="HO140" s="534"/>
      <c r="HP140" s="534"/>
    </row>
    <row r="141" spans="1:225" s="507" customFormat="1" x14ac:dyDescent="0.3">
      <c r="A141" s="509"/>
      <c r="B141" s="537"/>
      <c r="C141" s="537"/>
      <c r="D141" s="509"/>
      <c r="E141" s="509"/>
      <c r="F141" s="509"/>
      <c r="G141" s="509"/>
      <c r="H141" s="509"/>
      <c r="I141" s="509"/>
      <c r="K141" s="512"/>
      <c r="L141" s="538"/>
      <c r="M141" s="538"/>
      <c r="N141" s="538"/>
      <c r="O141" s="538"/>
      <c r="P141" s="538"/>
      <c r="Q141" s="538"/>
      <c r="R141" s="538"/>
      <c r="S141" s="538"/>
      <c r="T141" s="538"/>
      <c r="U141" s="538"/>
      <c r="V141" s="536"/>
      <c r="W141" s="536"/>
      <c r="X141" s="536"/>
      <c r="Y141" s="536"/>
      <c r="Z141" s="536"/>
      <c r="AA141" s="536"/>
      <c r="AB141" s="536"/>
      <c r="AC141" s="536"/>
      <c r="AD141" s="536"/>
      <c r="AE141" s="536"/>
      <c r="AG141" s="522"/>
      <c r="AH141" s="522"/>
      <c r="AI141" s="522"/>
      <c r="AK141" s="523"/>
      <c r="AL141" s="510"/>
      <c r="AM141" s="524"/>
      <c r="AN141" s="539"/>
      <c r="AO141" s="540"/>
      <c r="AP141" s="540"/>
      <c r="AQ141" s="539"/>
      <c r="AR141" s="540"/>
      <c r="AS141" s="540"/>
      <c r="AT141" s="539"/>
      <c r="AU141" s="540"/>
      <c r="AV141" s="540"/>
      <c r="AW141" s="539"/>
      <c r="AX141" s="540"/>
      <c r="AY141" s="540"/>
      <c r="AZ141" s="539"/>
      <c r="BA141" s="540"/>
      <c r="BB141" s="540"/>
      <c r="BC141" s="539"/>
      <c r="BD141" s="540"/>
      <c r="BE141" s="540"/>
      <c r="BF141" s="539"/>
      <c r="BG141" s="540"/>
      <c r="BH141" s="540"/>
      <c r="BI141" s="539"/>
      <c r="BJ141" s="540"/>
      <c r="BK141" s="540"/>
      <c r="BL141" s="539"/>
      <c r="BM141" s="540"/>
      <c r="BN141" s="540"/>
      <c r="BO141" s="539"/>
      <c r="BP141" s="540"/>
      <c r="BQ141" s="540"/>
      <c r="BS141" s="527"/>
      <c r="BT141" s="527"/>
      <c r="BU141" s="527"/>
      <c r="BV141" s="527"/>
      <c r="BW141" s="528"/>
      <c r="DD141" s="530"/>
      <c r="DE141" s="530"/>
      <c r="DF141" s="530"/>
      <c r="DG141" s="530"/>
      <c r="DH141" s="530"/>
      <c r="DI141" s="530"/>
      <c r="DJ141" s="530"/>
      <c r="DK141" s="530"/>
      <c r="DL141" s="530"/>
      <c r="DM141" s="530"/>
      <c r="DN141" s="531"/>
      <c r="DO141" s="531"/>
      <c r="DP141" s="531"/>
      <c r="DQ141" s="531"/>
      <c r="DR141" s="531"/>
      <c r="DS141" s="531"/>
      <c r="DT141" s="531"/>
      <c r="DU141" s="531"/>
      <c r="DV141" s="531"/>
      <c r="DW141" s="531"/>
      <c r="DZ141" s="532"/>
      <c r="EA141" s="533"/>
      <c r="EB141" s="534"/>
      <c r="EC141" s="533"/>
      <c r="ED141" s="534"/>
      <c r="EE141" s="533"/>
      <c r="EF141" s="534"/>
      <c r="EG141" s="535"/>
      <c r="EH141" s="532"/>
      <c r="EI141" s="533"/>
      <c r="EJ141" s="534"/>
      <c r="EK141" s="533"/>
      <c r="EL141" s="534"/>
      <c r="EM141" s="533"/>
      <c r="EN141" s="534"/>
      <c r="EO141" s="535"/>
      <c r="EP141" s="532"/>
      <c r="EQ141" s="533"/>
      <c r="ER141" s="534"/>
      <c r="ES141" s="533"/>
      <c r="ET141" s="534"/>
      <c r="EU141" s="533"/>
      <c r="EV141" s="534"/>
      <c r="EW141" s="535"/>
      <c r="EX141" s="532"/>
      <c r="EY141" s="533"/>
      <c r="EZ141" s="534"/>
      <c r="FA141" s="533"/>
      <c r="FB141" s="534"/>
      <c r="FC141" s="533"/>
      <c r="FD141" s="534"/>
      <c r="FE141" s="535"/>
      <c r="FF141" s="532"/>
      <c r="FG141" s="533"/>
      <c r="FH141" s="534"/>
      <c r="FI141" s="533"/>
      <c r="FJ141" s="534"/>
      <c r="FK141" s="533"/>
      <c r="FL141" s="534"/>
      <c r="FM141" s="535"/>
      <c r="FN141" s="532"/>
      <c r="FO141" s="533"/>
      <c r="FP141" s="534"/>
      <c r="FQ141" s="533"/>
      <c r="FR141" s="534"/>
      <c r="FS141" s="533"/>
      <c r="FT141" s="534"/>
      <c r="FU141" s="535"/>
      <c r="FV141" s="532"/>
      <c r="FW141" s="533"/>
      <c r="FX141" s="534"/>
      <c r="FY141" s="533"/>
      <c r="FZ141" s="534"/>
      <c r="GA141" s="533"/>
      <c r="GB141" s="534"/>
      <c r="GC141" s="535"/>
      <c r="GD141" s="532"/>
      <c r="GE141" s="533"/>
      <c r="GF141" s="534"/>
      <c r="GG141" s="533"/>
      <c r="GH141" s="534"/>
      <c r="GI141" s="533"/>
      <c r="GJ141" s="534"/>
      <c r="GK141" s="535"/>
      <c r="GL141" s="532"/>
      <c r="GM141" s="533"/>
      <c r="GN141" s="534"/>
      <c r="GO141" s="533"/>
      <c r="GP141" s="534"/>
      <c r="GQ141" s="533"/>
      <c r="GR141" s="534"/>
      <c r="GS141" s="535"/>
      <c r="GT141" s="532"/>
      <c r="GU141" s="533"/>
      <c r="GV141" s="534"/>
      <c r="GW141" s="533"/>
      <c r="GX141" s="534"/>
      <c r="GY141" s="533"/>
      <c r="GZ141" s="534"/>
      <c r="HA141" s="535"/>
      <c r="HG141" s="534"/>
      <c r="HH141" s="534"/>
      <c r="HI141" s="534"/>
      <c r="HJ141" s="534"/>
      <c r="HK141" s="534"/>
      <c r="HL141" s="534"/>
      <c r="HM141" s="534"/>
      <c r="HN141" s="534"/>
      <c r="HO141" s="534"/>
      <c r="HP141" s="534"/>
    </row>
    <row r="142" spans="1:225" s="507" customFormat="1" x14ac:dyDescent="0.3">
      <c r="A142" s="509"/>
      <c r="B142" s="537"/>
      <c r="C142" s="537"/>
      <c r="D142" s="509"/>
      <c r="E142" s="509"/>
      <c r="F142" s="509"/>
      <c r="G142" s="509"/>
      <c r="H142" s="509"/>
      <c r="I142" s="509"/>
      <c r="K142" s="512"/>
      <c r="L142" s="538"/>
      <c r="M142" s="538"/>
      <c r="N142" s="538"/>
      <c r="O142" s="538"/>
      <c r="P142" s="538"/>
      <c r="Q142" s="538"/>
      <c r="R142" s="538"/>
      <c r="S142" s="538"/>
      <c r="T142" s="538"/>
      <c r="U142" s="538"/>
      <c r="V142" s="536"/>
      <c r="W142" s="536"/>
      <c r="X142" s="536"/>
      <c r="Y142" s="536"/>
      <c r="Z142" s="536"/>
      <c r="AA142" s="536"/>
      <c r="AB142" s="536"/>
      <c r="AC142" s="536"/>
      <c r="AD142" s="536"/>
      <c r="AE142" s="536"/>
      <c r="AG142" s="522"/>
      <c r="AH142" s="522"/>
      <c r="AI142" s="522"/>
      <c r="AK142" s="523"/>
      <c r="AL142" s="510"/>
      <c r="AM142" s="524"/>
      <c r="AN142" s="539"/>
      <c r="AO142" s="540"/>
      <c r="AP142" s="540"/>
      <c r="AQ142" s="539"/>
      <c r="AR142" s="540"/>
      <c r="AS142" s="540"/>
      <c r="AT142" s="539"/>
      <c r="AU142" s="540"/>
      <c r="AV142" s="540"/>
      <c r="AW142" s="539"/>
      <c r="AX142" s="540"/>
      <c r="AY142" s="540"/>
      <c r="AZ142" s="539"/>
      <c r="BA142" s="540"/>
      <c r="BB142" s="540"/>
      <c r="BC142" s="539"/>
      <c r="BD142" s="540"/>
      <c r="BE142" s="540"/>
      <c r="BF142" s="539"/>
      <c r="BG142" s="540"/>
      <c r="BH142" s="540"/>
      <c r="BI142" s="539"/>
      <c r="BJ142" s="540"/>
      <c r="BK142" s="540"/>
      <c r="BL142" s="539"/>
      <c r="BM142" s="540"/>
      <c r="BN142" s="540"/>
      <c r="BO142" s="539"/>
      <c r="BP142" s="540"/>
      <c r="BQ142" s="540"/>
      <c r="BS142" s="527"/>
      <c r="BT142" s="527"/>
      <c r="BU142" s="527"/>
      <c r="BV142" s="527"/>
      <c r="BW142" s="528"/>
      <c r="DD142" s="530"/>
      <c r="DE142" s="530"/>
      <c r="DF142" s="530"/>
      <c r="DG142" s="530"/>
      <c r="DH142" s="530"/>
      <c r="DI142" s="530"/>
      <c r="DJ142" s="530"/>
      <c r="DK142" s="530"/>
      <c r="DL142" s="530"/>
      <c r="DM142" s="530"/>
      <c r="DN142" s="531"/>
      <c r="DO142" s="531"/>
      <c r="DP142" s="531"/>
      <c r="DQ142" s="531"/>
      <c r="DR142" s="531"/>
      <c r="DS142" s="531"/>
      <c r="DT142" s="531"/>
      <c r="DU142" s="531"/>
      <c r="DV142" s="531"/>
      <c r="DW142" s="531"/>
      <c r="DZ142" s="532"/>
      <c r="EA142" s="533"/>
      <c r="EB142" s="534"/>
      <c r="EC142" s="533"/>
      <c r="ED142" s="534"/>
      <c r="EE142" s="533"/>
      <c r="EF142" s="534"/>
      <c r="EG142" s="535"/>
      <c r="EH142" s="532"/>
      <c r="EI142" s="533"/>
      <c r="EJ142" s="534"/>
      <c r="EK142" s="533"/>
      <c r="EL142" s="534"/>
      <c r="EM142" s="533"/>
      <c r="EN142" s="534"/>
      <c r="EO142" s="535"/>
      <c r="EP142" s="532"/>
      <c r="EQ142" s="533"/>
      <c r="ER142" s="534"/>
      <c r="ES142" s="533"/>
      <c r="ET142" s="534"/>
      <c r="EU142" s="533"/>
      <c r="EV142" s="534"/>
      <c r="EW142" s="535"/>
      <c r="EX142" s="532"/>
      <c r="EY142" s="533"/>
      <c r="EZ142" s="534"/>
      <c r="FA142" s="533"/>
      <c r="FB142" s="534"/>
      <c r="FC142" s="533"/>
      <c r="FD142" s="534"/>
      <c r="FE142" s="535"/>
      <c r="FF142" s="532"/>
      <c r="FG142" s="533"/>
      <c r="FH142" s="534"/>
      <c r="FI142" s="533"/>
      <c r="FJ142" s="534"/>
      <c r="FK142" s="533"/>
      <c r="FL142" s="534"/>
      <c r="FM142" s="535"/>
      <c r="FN142" s="532"/>
      <c r="FO142" s="533"/>
      <c r="FP142" s="534"/>
      <c r="FQ142" s="533"/>
      <c r="FR142" s="534"/>
      <c r="FS142" s="533"/>
      <c r="FT142" s="534"/>
      <c r="FU142" s="535"/>
      <c r="FV142" s="532"/>
      <c r="FW142" s="533"/>
      <c r="FX142" s="534"/>
      <c r="FY142" s="533"/>
      <c r="FZ142" s="534"/>
      <c r="GA142" s="533"/>
      <c r="GB142" s="534"/>
      <c r="GC142" s="535"/>
      <c r="GD142" s="532"/>
      <c r="GE142" s="533"/>
      <c r="GF142" s="534"/>
      <c r="GG142" s="533"/>
      <c r="GH142" s="534"/>
      <c r="GI142" s="533"/>
      <c r="GJ142" s="534"/>
      <c r="GK142" s="535"/>
      <c r="GL142" s="532"/>
      <c r="GM142" s="533"/>
      <c r="GN142" s="534"/>
      <c r="GO142" s="533"/>
      <c r="GP142" s="534"/>
      <c r="GQ142" s="533"/>
      <c r="GR142" s="534"/>
      <c r="GS142" s="535"/>
      <c r="GT142" s="532"/>
      <c r="GU142" s="533"/>
      <c r="GV142" s="534"/>
      <c r="GW142" s="533"/>
      <c r="GX142" s="534"/>
      <c r="GY142" s="533"/>
      <c r="GZ142" s="534"/>
      <c r="HA142" s="535"/>
      <c r="HG142" s="534"/>
      <c r="HH142" s="534"/>
      <c r="HI142" s="534"/>
      <c r="HJ142" s="534"/>
      <c r="HK142" s="534"/>
      <c r="HL142" s="534"/>
      <c r="HM142" s="534"/>
      <c r="HN142" s="534"/>
      <c r="HO142" s="534"/>
      <c r="HP142" s="534"/>
    </row>
    <row r="143" spans="1:225" s="507" customFormat="1" x14ac:dyDescent="0.3">
      <c r="A143" s="509"/>
      <c r="B143" s="537"/>
      <c r="C143" s="537"/>
      <c r="D143" s="509"/>
      <c r="E143" s="509"/>
      <c r="F143" s="509"/>
      <c r="G143" s="509"/>
      <c r="H143" s="509"/>
      <c r="I143" s="509"/>
      <c r="K143" s="512"/>
      <c r="L143" s="538"/>
      <c r="M143" s="538"/>
      <c r="N143" s="538"/>
      <c r="O143" s="538"/>
      <c r="P143" s="538"/>
      <c r="Q143" s="538"/>
      <c r="R143" s="538"/>
      <c r="S143" s="538"/>
      <c r="T143" s="538"/>
      <c r="U143" s="538"/>
      <c r="V143" s="536"/>
      <c r="W143" s="536"/>
      <c r="X143" s="536"/>
      <c r="Y143" s="536"/>
      <c r="Z143" s="536"/>
      <c r="AA143" s="536"/>
      <c r="AB143" s="536"/>
      <c r="AC143" s="536"/>
      <c r="AD143" s="536"/>
      <c r="AE143" s="536"/>
      <c r="AG143" s="522"/>
      <c r="AH143" s="522"/>
      <c r="AI143" s="522"/>
      <c r="AK143" s="523"/>
      <c r="AL143" s="510"/>
      <c r="AM143" s="524"/>
      <c r="AN143" s="539"/>
      <c r="AO143" s="540"/>
      <c r="AP143" s="540"/>
      <c r="AQ143" s="539"/>
      <c r="AR143" s="540"/>
      <c r="AS143" s="540"/>
      <c r="AT143" s="539"/>
      <c r="AU143" s="540"/>
      <c r="AV143" s="540"/>
      <c r="AW143" s="539"/>
      <c r="AX143" s="540"/>
      <c r="AY143" s="540"/>
      <c r="AZ143" s="539"/>
      <c r="BA143" s="540"/>
      <c r="BB143" s="540"/>
      <c r="BC143" s="539"/>
      <c r="BD143" s="540"/>
      <c r="BE143" s="540"/>
      <c r="BF143" s="539"/>
      <c r="BG143" s="540"/>
      <c r="BH143" s="540"/>
      <c r="BI143" s="539"/>
      <c r="BJ143" s="540"/>
      <c r="BK143" s="540"/>
      <c r="BL143" s="539"/>
      <c r="BM143" s="540"/>
      <c r="BN143" s="540"/>
      <c r="BO143" s="539"/>
      <c r="BP143" s="540"/>
      <c r="BQ143" s="540"/>
      <c r="BS143" s="527"/>
      <c r="BT143" s="527"/>
      <c r="BU143" s="527"/>
      <c r="BV143" s="527"/>
      <c r="BW143" s="528"/>
      <c r="DD143" s="530"/>
      <c r="DE143" s="530"/>
      <c r="DF143" s="530"/>
      <c r="DG143" s="530"/>
      <c r="DH143" s="530"/>
      <c r="DI143" s="530"/>
      <c r="DJ143" s="530"/>
      <c r="DK143" s="530"/>
      <c r="DL143" s="530"/>
      <c r="DM143" s="530"/>
      <c r="DN143" s="531"/>
      <c r="DO143" s="531"/>
      <c r="DP143" s="531"/>
      <c r="DQ143" s="531"/>
      <c r="DR143" s="531"/>
      <c r="DS143" s="531"/>
      <c r="DT143" s="531"/>
      <c r="DU143" s="531"/>
      <c r="DV143" s="531"/>
      <c r="DW143" s="531"/>
      <c r="DZ143" s="532"/>
      <c r="EA143" s="533"/>
      <c r="EB143" s="534"/>
      <c r="EC143" s="533"/>
      <c r="ED143" s="534"/>
      <c r="EE143" s="533"/>
      <c r="EF143" s="534"/>
      <c r="EG143" s="535"/>
      <c r="EH143" s="532"/>
      <c r="EI143" s="533"/>
      <c r="EJ143" s="534"/>
      <c r="EK143" s="533"/>
      <c r="EL143" s="534"/>
      <c r="EM143" s="533"/>
      <c r="EN143" s="534"/>
      <c r="EO143" s="535"/>
      <c r="EP143" s="532"/>
      <c r="EQ143" s="533"/>
      <c r="ER143" s="534"/>
      <c r="ES143" s="533"/>
      <c r="ET143" s="534"/>
      <c r="EU143" s="533"/>
      <c r="EV143" s="534"/>
      <c r="EW143" s="535"/>
      <c r="EX143" s="532"/>
      <c r="EY143" s="533"/>
      <c r="EZ143" s="534"/>
      <c r="FA143" s="533"/>
      <c r="FB143" s="534"/>
      <c r="FC143" s="533"/>
      <c r="FD143" s="534"/>
      <c r="FE143" s="535"/>
      <c r="FF143" s="532"/>
      <c r="FG143" s="533"/>
      <c r="FH143" s="534"/>
      <c r="FI143" s="533"/>
      <c r="FJ143" s="534"/>
      <c r="FK143" s="533"/>
      <c r="FL143" s="534"/>
      <c r="FM143" s="535"/>
      <c r="FN143" s="532"/>
      <c r="FO143" s="533"/>
      <c r="FP143" s="534"/>
      <c r="FQ143" s="533"/>
      <c r="FR143" s="534"/>
      <c r="FS143" s="533"/>
      <c r="FT143" s="534"/>
      <c r="FU143" s="535"/>
      <c r="FV143" s="532"/>
      <c r="FW143" s="533"/>
      <c r="FX143" s="534"/>
      <c r="FY143" s="533"/>
      <c r="FZ143" s="534"/>
      <c r="GA143" s="533"/>
      <c r="GB143" s="534"/>
      <c r="GC143" s="535"/>
      <c r="GD143" s="532"/>
      <c r="GE143" s="533"/>
      <c r="GF143" s="534"/>
      <c r="GG143" s="533"/>
      <c r="GH143" s="534"/>
      <c r="GI143" s="533"/>
      <c r="GJ143" s="534"/>
      <c r="GK143" s="535"/>
      <c r="GL143" s="532"/>
      <c r="GM143" s="533"/>
      <c r="GN143" s="534"/>
      <c r="GO143" s="533"/>
      <c r="GP143" s="534"/>
      <c r="GQ143" s="533"/>
      <c r="GR143" s="534"/>
      <c r="GS143" s="535"/>
      <c r="GT143" s="532"/>
      <c r="GU143" s="533"/>
      <c r="GV143" s="534"/>
      <c r="GW143" s="533"/>
      <c r="GX143" s="534"/>
      <c r="GY143" s="533"/>
      <c r="GZ143" s="534"/>
      <c r="HA143" s="535"/>
      <c r="HG143" s="534"/>
      <c r="HH143" s="534"/>
      <c r="HI143" s="534"/>
      <c r="HJ143" s="534"/>
      <c r="HK143" s="534"/>
      <c r="HL143" s="534"/>
      <c r="HM143" s="534"/>
      <c r="HN143" s="534"/>
      <c r="HO143" s="534"/>
      <c r="HP143" s="534"/>
    </row>
    <row r="144" spans="1:225" s="507" customFormat="1" x14ac:dyDescent="0.3">
      <c r="A144" s="509"/>
      <c r="B144" s="537"/>
      <c r="C144" s="537"/>
      <c r="D144" s="509"/>
      <c r="E144" s="509"/>
      <c r="F144" s="509"/>
      <c r="G144" s="509"/>
      <c r="H144" s="509"/>
      <c r="I144" s="509"/>
      <c r="K144" s="512"/>
      <c r="L144" s="538"/>
      <c r="M144" s="538"/>
      <c r="N144" s="538"/>
      <c r="O144" s="538"/>
      <c r="P144" s="538"/>
      <c r="Q144" s="538"/>
      <c r="R144" s="538"/>
      <c r="S144" s="538"/>
      <c r="T144" s="538"/>
      <c r="U144" s="538"/>
      <c r="V144" s="536"/>
      <c r="W144" s="536"/>
      <c r="X144" s="536"/>
      <c r="Y144" s="536"/>
      <c r="Z144" s="536"/>
      <c r="AA144" s="536"/>
      <c r="AB144" s="536"/>
      <c r="AC144" s="536"/>
      <c r="AD144" s="536"/>
      <c r="AE144" s="536"/>
      <c r="AG144" s="522"/>
      <c r="AH144" s="522"/>
      <c r="AI144" s="522"/>
      <c r="AK144" s="523"/>
      <c r="AL144" s="510"/>
      <c r="AM144" s="524"/>
      <c r="AN144" s="539"/>
      <c r="AO144" s="540"/>
      <c r="AP144" s="540"/>
      <c r="AQ144" s="539"/>
      <c r="AR144" s="540"/>
      <c r="AS144" s="540"/>
      <c r="AT144" s="539"/>
      <c r="AU144" s="540"/>
      <c r="AV144" s="540"/>
      <c r="AW144" s="539"/>
      <c r="AX144" s="540"/>
      <c r="AY144" s="540"/>
      <c r="AZ144" s="539"/>
      <c r="BA144" s="540"/>
      <c r="BB144" s="540"/>
      <c r="BC144" s="539"/>
      <c r="BD144" s="540"/>
      <c r="BE144" s="540"/>
      <c r="BF144" s="539"/>
      <c r="BG144" s="540"/>
      <c r="BH144" s="540"/>
      <c r="BI144" s="539"/>
      <c r="BJ144" s="540"/>
      <c r="BK144" s="540"/>
      <c r="BL144" s="539"/>
      <c r="BM144" s="540"/>
      <c r="BN144" s="540"/>
      <c r="BO144" s="539"/>
      <c r="BP144" s="540"/>
      <c r="BQ144" s="540"/>
      <c r="BS144" s="527"/>
      <c r="BT144" s="527"/>
      <c r="BU144" s="527"/>
      <c r="BV144" s="527"/>
      <c r="BW144" s="528"/>
      <c r="DD144" s="530"/>
      <c r="DE144" s="530"/>
      <c r="DF144" s="530"/>
      <c r="DG144" s="530"/>
      <c r="DH144" s="530"/>
      <c r="DI144" s="530"/>
      <c r="DJ144" s="530"/>
      <c r="DK144" s="530"/>
      <c r="DL144" s="530"/>
      <c r="DM144" s="530"/>
      <c r="DN144" s="531"/>
      <c r="DO144" s="531"/>
      <c r="DP144" s="531"/>
      <c r="DQ144" s="531"/>
      <c r="DR144" s="531"/>
      <c r="DS144" s="531"/>
      <c r="DT144" s="531"/>
      <c r="DU144" s="531"/>
      <c r="DV144" s="531"/>
      <c r="DW144" s="531"/>
      <c r="DZ144" s="532"/>
      <c r="EA144" s="533"/>
      <c r="EB144" s="534"/>
      <c r="EC144" s="533"/>
      <c r="ED144" s="534"/>
      <c r="EE144" s="533"/>
      <c r="EF144" s="534"/>
      <c r="EG144" s="535"/>
      <c r="EH144" s="532"/>
      <c r="EI144" s="533"/>
      <c r="EJ144" s="534"/>
      <c r="EK144" s="533"/>
      <c r="EL144" s="534"/>
      <c r="EM144" s="533"/>
      <c r="EN144" s="534"/>
      <c r="EO144" s="535"/>
      <c r="EP144" s="532"/>
      <c r="EQ144" s="533"/>
      <c r="ER144" s="534"/>
      <c r="ES144" s="533"/>
      <c r="ET144" s="534"/>
      <c r="EU144" s="533"/>
      <c r="EV144" s="534"/>
      <c r="EW144" s="535"/>
      <c r="EX144" s="532"/>
      <c r="EY144" s="533"/>
      <c r="EZ144" s="534"/>
      <c r="FA144" s="533"/>
      <c r="FB144" s="534"/>
      <c r="FC144" s="533"/>
      <c r="FD144" s="534"/>
      <c r="FE144" s="535"/>
      <c r="FF144" s="532"/>
      <c r="FG144" s="533"/>
      <c r="FH144" s="534"/>
      <c r="FI144" s="533"/>
      <c r="FJ144" s="534"/>
      <c r="FK144" s="533"/>
      <c r="FL144" s="534"/>
      <c r="FM144" s="535"/>
      <c r="FN144" s="532"/>
      <c r="FO144" s="533"/>
      <c r="FP144" s="534"/>
      <c r="FQ144" s="533"/>
      <c r="FR144" s="534"/>
      <c r="FS144" s="533"/>
      <c r="FT144" s="534"/>
      <c r="FU144" s="535"/>
      <c r="FV144" s="532"/>
      <c r="FW144" s="533"/>
      <c r="FX144" s="534"/>
      <c r="FY144" s="533"/>
      <c r="FZ144" s="534"/>
      <c r="GA144" s="533"/>
      <c r="GB144" s="534"/>
      <c r="GC144" s="535"/>
      <c r="GD144" s="532"/>
      <c r="GE144" s="533"/>
      <c r="GF144" s="534"/>
      <c r="GG144" s="533"/>
      <c r="GH144" s="534"/>
      <c r="GI144" s="533"/>
      <c r="GJ144" s="534"/>
      <c r="GK144" s="535"/>
      <c r="GL144" s="532"/>
      <c r="GM144" s="533"/>
      <c r="GN144" s="534"/>
      <c r="GO144" s="533"/>
      <c r="GP144" s="534"/>
      <c r="GQ144" s="533"/>
      <c r="GR144" s="534"/>
      <c r="GS144" s="535"/>
      <c r="GT144" s="532"/>
      <c r="GU144" s="533"/>
      <c r="GV144" s="534"/>
      <c r="GW144" s="533"/>
      <c r="GX144" s="534"/>
      <c r="GY144" s="533"/>
      <c r="GZ144" s="534"/>
      <c r="HA144" s="535"/>
      <c r="HG144" s="534"/>
      <c r="HH144" s="534"/>
      <c r="HI144" s="534"/>
      <c r="HJ144" s="534"/>
      <c r="HK144" s="534"/>
      <c r="HL144" s="534"/>
      <c r="HM144" s="534"/>
      <c r="HN144" s="534"/>
      <c r="HO144" s="534"/>
      <c r="HP144" s="534"/>
    </row>
    <row r="145" spans="1:224" s="507" customFormat="1" x14ac:dyDescent="0.3">
      <c r="A145" s="509"/>
      <c r="B145" s="537"/>
      <c r="C145" s="537"/>
      <c r="D145" s="509"/>
      <c r="E145" s="509"/>
      <c r="F145" s="509"/>
      <c r="G145" s="509"/>
      <c r="H145" s="509"/>
      <c r="I145" s="509"/>
      <c r="K145" s="512"/>
      <c r="L145" s="538"/>
      <c r="M145" s="538"/>
      <c r="N145" s="538"/>
      <c r="O145" s="538"/>
      <c r="P145" s="538"/>
      <c r="Q145" s="538"/>
      <c r="R145" s="538"/>
      <c r="S145" s="538"/>
      <c r="T145" s="538"/>
      <c r="U145" s="538"/>
      <c r="V145" s="536"/>
      <c r="W145" s="536"/>
      <c r="X145" s="536"/>
      <c r="Y145" s="536"/>
      <c r="Z145" s="536"/>
      <c r="AA145" s="536"/>
      <c r="AB145" s="536"/>
      <c r="AC145" s="536"/>
      <c r="AD145" s="536"/>
      <c r="AE145" s="536"/>
      <c r="AG145" s="522"/>
      <c r="AH145" s="522"/>
      <c r="AI145" s="522"/>
      <c r="AK145" s="523"/>
      <c r="AL145" s="510"/>
      <c r="AM145" s="524"/>
      <c r="AN145" s="539"/>
      <c r="AO145" s="540"/>
      <c r="AP145" s="540"/>
      <c r="AQ145" s="539"/>
      <c r="AR145" s="540"/>
      <c r="AS145" s="540"/>
      <c r="AT145" s="539"/>
      <c r="AU145" s="540"/>
      <c r="AV145" s="540"/>
      <c r="AW145" s="539"/>
      <c r="AX145" s="540"/>
      <c r="AY145" s="540"/>
      <c r="AZ145" s="539"/>
      <c r="BA145" s="540"/>
      <c r="BB145" s="540"/>
      <c r="BC145" s="539"/>
      <c r="BD145" s="540"/>
      <c r="BE145" s="540"/>
      <c r="BF145" s="539"/>
      <c r="BG145" s="540"/>
      <c r="BH145" s="540"/>
      <c r="BI145" s="539"/>
      <c r="BJ145" s="540"/>
      <c r="BK145" s="540"/>
      <c r="BL145" s="539"/>
      <c r="BM145" s="540"/>
      <c r="BN145" s="540"/>
      <c r="BO145" s="539"/>
      <c r="BP145" s="540"/>
      <c r="BQ145" s="540"/>
      <c r="BS145" s="527"/>
      <c r="BT145" s="527"/>
      <c r="BU145" s="527"/>
      <c r="BV145" s="527"/>
      <c r="BW145" s="528"/>
      <c r="DD145" s="530"/>
      <c r="DE145" s="530"/>
      <c r="DF145" s="530"/>
      <c r="DG145" s="530"/>
      <c r="DH145" s="530"/>
      <c r="DI145" s="530"/>
      <c r="DJ145" s="530"/>
      <c r="DK145" s="530"/>
      <c r="DL145" s="530"/>
      <c r="DM145" s="530"/>
      <c r="DN145" s="531"/>
      <c r="DO145" s="531"/>
      <c r="DP145" s="531"/>
      <c r="DQ145" s="531"/>
      <c r="DR145" s="531"/>
      <c r="DS145" s="531"/>
      <c r="DT145" s="531"/>
      <c r="DU145" s="531"/>
      <c r="DV145" s="531"/>
      <c r="DW145" s="531"/>
      <c r="DZ145" s="532"/>
      <c r="EA145" s="533"/>
      <c r="EB145" s="534"/>
      <c r="EC145" s="533"/>
      <c r="ED145" s="534"/>
      <c r="EE145" s="533"/>
      <c r="EF145" s="534"/>
      <c r="EG145" s="535"/>
      <c r="EH145" s="532"/>
      <c r="EI145" s="533"/>
      <c r="EJ145" s="534"/>
      <c r="EK145" s="533"/>
      <c r="EL145" s="534"/>
      <c r="EM145" s="533"/>
      <c r="EN145" s="534"/>
      <c r="EO145" s="535"/>
      <c r="EP145" s="532"/>
      <c r="EQ145" s="533"/>
      <c r="ER145" s="534"/>
      <c r="ES145" s="533"/>
      <c r="ET145" s="534"/>
      <c r="EU145" s="533"/>
      <c r="EV145" s="534"/>
      <c r="EW145" s="535"/>
      <c r="EX145" s="532"/>
      <c r="EY145" s="533"/>
      <c r="EZ145" s="534"/>
      <c r="FA145" s="533"/>
      <c r="FB145" s="534"/>
      <c r="FC145" s="533"/>
      <c r="FD145" s="534"/>
      <c r="FE145" s="535"/>
      <c r="FF145" s="532"/>
      <c r="FG145" s="533"/>
      <c r="FH145" s="534"/>
      <c r="FI145" s="533"/>
      <c r="FJ145" s="534"/>
      <c r="FK145" s="533"/>
      <c r="FL145" s="534"/>
      <c r="FM145" s="535"/>
      <c r="FN145" s="532"/>
      <c r="FO145" s="533"/>
      <c r="FP145" s="534"/>
      <c r="FQ145" s="533"/>
      <c r="FR145" s="534"/>
      <c r="FS145" s="533"/>
      <c r="FT145" s="534"/>
      <c r="FU145" s="535"/>
      <c r="FV145" s="532"/>
      <c r="FW145" s="533"/>
      <c r="FX145" s="534"/>
      <c r="FY145" s="533"/>
      <c r="FZ145" s="534"/>
      <c r="GA145" s="533"/>
      <c r="GB145" s="534"/>
      <c r="GC145" s="535"/>
      <c r="GD145" s="532"/>
      <c r="GE145" s="533"/>
      <c r="GF145" s="534"/>
      <c r="GG145" s="533"/>
      <c r="GH145" s="534"/>
      <c r="GI145" s="533"/>
      <c r="GJ145" s="534"/>
      <c r="GK145" s="535"/>
      <c r="GL145" s="532"/>
      <c r="GM145" s="533"/>
      <c r="GN145" s="534"/>
      <c r="GO145" s="533"/>
      <c r="GP145" s="534"/>
      <c r="GQ145" s="533"/>
      <c r="GR145" s="534"/>
      <c r="GS145" s="535"/>
      <c r="GT145" s="532"/>
      <c r="GU145" s="533"/>
      <c r="GV145" s="534"/>
      <c r="GW145" s="533"/>
      <c r="GX145" s="534"/>
      <c r="GY145" s="533"/>
      <c r="GZ145" s="534"/>
      <c r="HA145" s="535"/>
      <c r="HG145" s="534"/>
      <c r="HH145" s="534"/>
      <c r="HI145" s="534"/>
      <c r="HJ145" s="534"/>
      <c r="HK145" s="534"/>
      <c r="HL145" s="534"/>
      <c r="HM145" s="534"/>
      <c r="HN145" s="534"/>
      <c r="HO145" s="534"/>
      <c r="HP145" s="534"/>
    </row>
    <row r="146" spans="1:224" s="507" customFormat="1" x14ac:dyDescent="0.3">
      <c r="A146" s="509"/>
      <c r="G146" s="509"/>
    </row>
    <row r="147" spans="1:224" x14ac:dyDescent="0.3">
      <c r="A147" s="509"/>
    </row>
    <row r="148" spans="1:224" x14ac:dyDescent="0.3">
      <c r="A148" s="509"/>
    </row>
    <row r="149" spans="1:224" x14ac:dyDescent="0.3">
      <c r="A149" s="509"/>
    </row>
  </sheetData>
  <sheetProtection algorithmName="SHA-512" hashValue="Z3RcFltOB91iR4Q82MEC/elZWJb6nS/03IQRIoxqRCKaq2uyI7JX7/JSR9SrVfZsqHLwOrH9P08BqHUWoEybMQ==" saltValue="S99Sp4iRSd67SU0g7PllCQ==" spinCount="100000" sheet="1" objects="1" scenarios="1"/>
  <mergeCells count="279">
    <mergeCell ref="GX9:GY9"/>
    <mergeCell ref="GT9:GU9"/>
    <mergeCell ref="GN9:GO9"/>
    <mergeCell ref="A14:A16"/>
    <mergeCell ref="B3:U3"/>
    <mergeCell ref="K16:K17"/>
    <mergeCell ref="I13:I17"/>
    <mergeCell ref="J14:J17"/>
    <mergeCell ref="GV17:GW17"/>
    <mergeCell ref="EP17:EQ17"/>
    <mergeCell ref="FB17:FC17"/>
    <mergeCell ref="E12:F12"/>
    <mergeCell ref="V17:AE17"/>
    <mergeCell ref="F17:G17"/>
    <mergeCell ref="AT17:AV17"/>
    <mergeCell ref="AQ17:AS17"/>
    <mergeCell ref="BI17:BK17"/>
    <mergeCell ref="BF17:BH17"/>
    <mergeCell ref="BC17:BE17"/>
    <mergeCell ref="AZ17:BB17"/>
    <mergeCell ref="L17:U17"/>
    <mergeCell ref="AG17:AI17"/>
    <mergeCell ref="AG16:AH16"/>
    <mergeCell ref="V14:AE16"/>
    <mergeCell ref="AG2:AI2"/>
    <mergeCell ref="AW17:AY17"/>
    <mergeCell ref="AK17:AM17"/>
    <mergeCell ref="EB17:EC17"/>
    <mergeCell ref="ED17:EE17"/>
    <mergeCell ref="EF17:EG17"/>
    <mergeCell ref="EH16:EO16"/>
    <mergeCell ref="EH17:EI17"/>
    <mergeCell ref="EN17:EO17"/>
    <mergeCell ref="EL17:EM17"/>
    <mergeCell ref="EN11:EO11"/>
    <mergeCell ref="EL14:EM14"/>
    <mergeCell ref="BS2:DA2"/>
    <mergeCell ref="BY17:CC17"/>
    <mergeCell ref="EB11:EC11"/>
    <mergeCell ref="EB13:EC13"/>
    <mergeCell ref="EB14:EC14"/>
    <mergeCell ref="DN17:DW17"/>
    <mergeCell ref="DZ9:EA9"/>
    <mergeCell ref="DY2:HB2"/>
    <mergeCell ref="GZ14:HA14"/>
    <mergeCell ref="CQ17:CU17"/>
    <mergeCell ref="BO17:BQ17"/>
    <mergeCell ref="AN17:AP17"/>
    <mergeCell ref="BL17:BN17"/>
    <mergeCell ref="CK17:CO17"/>
    <mergeCell ref="CE17:CI17"/>
    <mergeCell ref="DN16:DW16"/>
    <mergeCell ref="BS16:BW17"/>
    <mergeCell ref="CW17:DA17"/>
    <mergeCell ref="DD17:DM17"/>
    <mergeCell ref="DD16:DM16"/>
    <mergeCell ref="FL17:FM17"/>
    <mergeCell ref="FF16:FM16"/>
    <mergeCell ref="FF17:FG17"/>
    <mergeCell ref="GZ17:HA17"/>
    <mergeCell ref="GT16:HA16"/>
    <mergeCell ref="DZ16:EG16"/>
    <mergeCell ref="DZ17:EA17"/>
    <mergeCell ref="GL17:GM17"/>
    <mergeCell ref="GP17:GQ17"/>
    <mergeCell ref="GR17:GS17"/>
    <mergeCell ref="FV16:GC16"/>
    <mergeCell ref="EV17:EW17"/>
    <mergeCell ref="FH17:FI17"/>
    <mergeCell ref="ET17:EU17"/>
    <mergeCell ref="EZ17:FA17"/>
    <mergeCell ref="FD17:FE17"/>
    <mergeCell ref="ER17:ES17"/>
    <mergeCell ref="EX17:EY17"/>
    <mergeCell ref="GT17:GU17"/>
    <mergeCell ref="GX17:GY17"/>
    <mergeCell ref="EJ17:EK17"/>
    <mergeCell ref="EP16:EW16"/>
    <mergeCell ref="FX17:FY17"/>
    <mergeCell ref="FV17:FW17"/>
    <mergeCell ref="GB17:GC17"/>
    <mergeCell ref="GF17:GG17"/>
    <mergeCell ref="FP17:FQ17"/>
    <mergeCell ref="FT17:FU17"/>
    <mergeCell ref="GD17:GE17"/>
    <mergeCell ref="GB14:GC14"/>
    <mergeCell ref="DZ13:EA13"/>
    <mergeCell ref="EF13:EG13"/>
    <mergeCell ref="EH13:EI13"/>
    <mergeCell ref="EN13:EO13"/>
    <mergeCell ref="EP13:EQ13"/>
    <mergeCell ref="ER13:ES13"/>
    <mergeCell ref="EX13:EY13"/>
    <mergeCell ref="FB13:FC13"/>
    <mergeCell ref="FN13:FO13"/>
    <mergeCell ref="ED13:EE13"/>
    <mergeCell ref="FF13:FG13"/>
    <mergeCell ref="FJ13:FK13"/>
    <mergeCell ref="EV13:EW13"/>
    <mergeCell ref="EZ13:FA13"/>
    <mergeCell ref="FZ17:GA17"/>
    <mergeCell ref="EV14:EW14"/>
    <mergeCell ref="FJ17:FK17"/>
    <mergeCell ref="FN17:FO17"/>
    <mergeCell ref="FR17:FS17"/>
    <mergeCell ref="ER14:ES14"/>
    <mergeCell ref="EX14:EY14"/>
    <mergeCell ref="EX16:FE16"/>
    <mergeCell ref="ED14:EE14"/>
    <mergeCell ref="EF9:EG9"/>
    <mergeCell ref="EH9:EI9"/>
    <mergeCell ref="EN9:EO9"/>
    <mergeCell ref="EP14:EQ14"/>
    <mergeCell ref="FH13:FI13"/>
    <mergeCell ref="FL13:FM13"/>
    <mergeCell ref="FH14:FI14"/>
    <mergeCell ref="FL14:FM14"/>
    <mergeCell ref="EJ14:EK14"/>
    <mergeCell ref="EP9:EQ9"/>
    <mergeCell ref="ER9:ES9"/>
    <mergeCell ref="EX9:EY9"/>
    <mergeCell ref="EP11:EQ11"/>
    <mergeCell ref="ER11:ES11"/>
    <mergeCell ref="FB11:FC11"/>
    <mergeCell ref="FH11:FI11"/>
    <mergeCell ref="EZ11:FA11"/>
    <mergeCell ref="FD11:FE11"/>
    <mergeCell ref="FJ11:FK11"/>
    <mergeCell ref="EF14:EG14"/>
    <mergeCell ref="EH14:EI14"/>
    <mergeCell ref="EN14:EO14"/>
    <mergeCell ref="ET14:EU14"/>
    <mergeCell ref="GD9:GE9"/>
    <mergeCell ref="FR13:FS13"/>
    <mergeCell ref="FP14:FQ14"/>
    <mergeCell ref="EX11:EY11"/>
    <mergeCell ref="FN9:FO9"/>
    <mergeCell ref="FR9:FS9"/>
    <mergeCell ref="FF11:FG11"/>
    <mergeCell ref="FT14:FU14"/>
    <mergeCell ref="FB14:FC14"/>
    <mergeCell ref="FF14:FG14"/>
    <mergeCell ref="FJ14:FK14"/>
    <mergeCell ref="FN14:FO14"/>
    <mergeCell ref="FN16:FU16"/>
    <mergeCell ref="GB11:GC11"/>
    <mergeCell ref="FX13:FY13"/>
    <mergeCell ref="GB13:GC13"/>
    <mergeCell ref="FX14:FY14"/>
    <mergeCell ref="GF14:GG14"/>
    <mergeCell ref="FN11:FO11"/>
    <mergeCell ref="FR11:FS11"/>
    <mergeCell ref="FV11:FW11"/>
    <mergeCell ref="FZ11:GA11"/>
    <mergeCell ref="GD11:GE11"/>
    <mergeCell ref="FR14:FS14"/>
    <mergeCell ref="FV14:FW14"/>
    <mergeCell ref="FZ14:GA14"/>
    <mergeCell ref="A2:AE2"/>
    <mergeCell ref="AK2:BQ2"/>
    <mergeCell ref="GL11:GM11"/>
    <mergeCell ref="GP11:GQ11"/>
    <mergeCell ref="GT11:GU11"/>
    <mergeCell ref="GT14:GU14"/>
    <mergeCell ref="GN11:GO11"/>
    <mergeCell ref="GR11:GS11"/>
    <mergeCell ref="GN13:GO13"/>
    <mergeCell ref="GR13:GS13"/>
    <mergeCell ref="DZ8:EG8"/>
    <mergeCell ref="EH8:EO8"/>
    <mergeCell ref="EP8:EW8"/>
    <mergeCell ref="EX8:FE8"/>
    <mergeCell ref="FF8:FM8"/>
    <mergeCell ref="FN8:FU8"/>
    <mergeCell ref="FV8:GC8"/>
    <mergeCell ref="EZ9:FA9"/>
    <mergeCell ref="FP9:FQ9"/>
    <mergeCell ref="ED9:EE9"/>
    <mergeCell ref="ED11:EE11"/>
    <mergeCell ref="GD8:GK8"/>
    <mergeCell ref="GL8:GS8"/>
    <mergeCell ref="FX9:FY9"/>
    <mergeCell ref="B5:C6"/>
    <mergeCell ref="CE4:CI4"/>
    <mergeCell ref="CQ4:CU4"/>
    <mergeCell ref="DD6:DM6"/>
    <mergeCell ref="DN6:DW6"/>
    <mergeCell ref="CK4:CO4"/>
    <mergeCell ref="BY4:CC4"/>
    <mergeCell ref="CW4:DA4"/>
    <mergeCell ref="BS5:BW5"/>
    <mergeCell ref="D5:J6"/>
    <mergeCell ref="B9:C9"/>
    <mergeCell ref="B8:F8"/>
    <mergeCell ref="GF9:GG9"/>
    <mergeCell ref="GJ9:GK9"/>
    <mergeCell ref="GF11:GG11"/>
    <mergeCell ref="GJ11:GK11"/>
    <mergeCell ref="GF13:GG13"/>
    <mergeCell ref="E10:F10"/>
    <mergeCell ref="E11:F11"/>
    <mergeCell ref="E13:F13"/>
    <mergeCell ref="D9:F9"/>
    <mergeCell ref="BS10:BW10"/>
    <mergeCell ref="EB9:EC9"/>
    <mergeCell ref="GH9:GI9"/>
    <mergeCell ref="GH11:GI11"/>
    <mergeCell ref="GH13:GI13"/>
    <mergeCell ref="FZ9:GA9"/>
    <mergeCell ref="FV9:FW9"/>
    <mergeCell ref="FV13:FW13"/>
    <mergeCell ref="DZ11:EA11"/>
    <mergeCell ref="GJ13:GK13"/>
    <mergeCell ref="FD13:FE13"/>
    <mergeCell ref="FT9:FU9"/>
    <mergeCell ref="FP11:FQ11"/>
    <mergeCell ref="GV11:GW11"/>
    <mergeCell ref="GV13:GW13"/>
    <mergeCell ref="GV14:GW14"/>
    <mergeCell ref="K7:U8"/>
    <mergeCell ref="GT8:HA8"/>
    <mergeCell ref="DZ14:EA14"/>
    <mergeCell ref="FT11:FU11"/>
    <mergeCell ref="FP13:FQ13"/>
    <mergeCell ref="FT13:FU13"/>
    <mergeCell ref="FZ13:GA13"/>
    <mergeCell ref="GZ13:HA13"/>
    <mergeCell ref="GP13:GQ13"/>
    <mergeCell ref="GX14:GY14"/>
    <mergeCell ref="GR9:GS9"/>
    <mergeCell ref="GL9:GM9"/>
    <mergeCell ref="GP9:GQ9"/>
    <mergeCell ref="GV9:GW9"/>
    <mergeCell ref="GZ9:HA9"/>
    <mergeCell ref="GB9:GC9"/>
    <mergeCell ref="GZ11:HA11"/>
    <mergeCell ref="FL11:FM11"/>
    <mergeCell ref="GX13:GY13"/>
    <mergeCell ref="GX11:GY11"/>
    <mergeCell ref="FX11:FY11"/>
    <mergeCell ref="GN14:GO14"/>
    <mergeCell ref="GR14:GS14"/>
    <mergeCell ref="GL16:GS16"/>
    <mergeCell ref="GH17:GI17"/>
    <mergeCell ref="GD14:GE14"/>
    <mergeCell ref="GH14:GI14"/>
    <mergeCell ref="GP14:GQ14"/>
    <mergeCell ref="GT13:GU13"/>
    <mergeCell ref="GL13:GM13"/>
    <mergeCell ref="GJ14:GK14"/>
    <mergeCell ref="GJ17:GK17"/>
    <mergeCell ref="GN17:GO17"/>
    <mergeCell ref="GL14:GM14"/>
    <mergeCell ref="GD13:GE13"/>
    <mergeCell ref="GD16:GK16"/>
    <mergeCell ref="HG17:HP17"/>
    <mergeCell ref="HF2:HQ2"/>
    <mergeCell ref="DC2:DW2"/>
    <mergeCell ref="FL9:FM9"/>
    <mergeCell ref="FF9:FG9"/>
    <mergeCell ref="FJ9:FK9"/>
    <mergeCell ref="FH9:FI9"/>
    <mergeCell ref="FD9:FE9"/>
    <mergeCell ref="FD14:FE14"/>
    <mergeCell ref="FB9:FC9"/>
    <mergeCell ref="ET9:EU9"/>
    <mergeCell ref="EV9:EW9"/>
    <mergeCell ref="EV11:EW11"/>
    <mergeCell ref="ET13:EU13"/>
    <mergeCell ref="ET11:EU11"/>
    <mergeCell ref="EZ14:FA14"/>
    <mergeCell ref="EL9:EM9"/>
    <mergeCell ref="EL11:EM11"/>
    <mergeCell ref="EL13:EM13"/>
    <mergeCell ref="EJ9:EK9"/>
    <mergeCell ref="EJ11:EK11"/>
    <mergeCell ref="EF11:EG11"/>
    <mergeCell ref="EH11:EI11"/>
    <mergeCell ref="EJ13:EK13"/>
  </mergeCells>
  <phoneticPr fontId="32" type="noConversion"/>
  <conditionalFormatting sqref="DD19:DM145">
    <cfRule type="cellIs" dxfId="170" priority="5" operator="equal">
      <formula>-0.3</formula>
    </cfRule>
  </conditionalFormatting>
  <conditionalFormatting sqref="DN19:DW145">
    <cfRule type="cellIs" dxfId="169" priority="4" operator="equal">
      <formula>0</formula>
    </cfRule>
  </conditionalFormatting>
  <conditionalFormatting sqref="HG19:HP137">
    <cfRule type="cellIs" dxfId="168" priority="3" operator="equal">
      <formula>0</formula>
    </cfRule>
  </conditionalFormatting>
  <conditionalFormatting sqref="DZ19:HA137">
    <cfRule type="cellIs" dxfId="167" priority="2" operator="equal">
      <formula>0</formula>
    </cfRule>
  </conditionalFormatting>
  <conditionalFormatting sqref="AN19:BQ137">
    <cfRule type="cellIs" dxfId="166" priority="1" operator="equal">
      <formula>0</formula>
    </cfRule>
  </conditionalFormatting>
  <pageMargins left="0.23622047244094491" right="0.23622047244094491" top="0.74803149606299213" bottom="0.74803149606299213" header="0.31496062992125984" footer="0.31496062992125984"/>
  <pageSetup paperSize="8" fitToWidth="0" fitToHeight="0" orientation="landscape" horizontalDpi="1200" verticalDpi="1200" r:id="rId1"/>
  <headerFooter>
    <oddFooter>&amp;R&amp;"-,Italic"&amp;K03+000Page &amp;P of &amp;N</oddFooter>
  </headerFooter>
  <colBreaks count="1" manualBreakCount="1">
    <brk id="21" max="1048575" man="1"/>
  </colBreaks>
  <ignoredErrors>
    <ignoredError sqref="DZ10 EB10 EF10" formula="1"/>
  </ignoredErrors>
  <legacyDrawing r:id="rId2"/>
  <tableParts count="10">
    <tablePart r:id="rId3"/>
    <tablePart r:id="rId4"/>
    <tablePart r:id="rId5"/>
    <tablePart r:id="rId6"/>
    <tablePart r:id="rId7"/>
    <tablePart r:id="rId8"/>
    <tablePart r:id="rId9"/>
    <tablePart r:id="rId10"/>
    <tablePart r:id="rId11"/>
    <tablePart r:id="rId1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D3F3-DA90-464D-BC2F-53743413F705}">
  <sheetPr codeName="Sheet2">
    <tabColor theme="4" tint="0.59999389629810485"/>
    <pageSetUpPr fitToPage="1"/>
  </sheetPr>
  <dimension ref="A1:DA54"/>
  <sheetViews>
    <sheetView zoomScale="80" zoomScaleNormal="80" workbookViewId="0">
      <selection activeCell="Y6" sqref="Y6"/>
    </sheetView>
  </sheetViews>
  <sheetFormatPr defaultRowHeight="14.4" x14ac:dyDescent="0.3"/>
  <cols>
    <col min="1" max="1" width="3" customWidth="1"/>
    <col min="2" max="2" width="11.77734375" customWidth="1"/>
    <col min="3" max="3" width="12.77734375" customWidth="1"/>
    <col min="4" max="4" width="11.5546875" customWidth="1"/>
    <col min="5" max="5" width="9.21875" customWidth="1"/>
    <col min="6" max="6" width="12.5546875" customWidth="1"/>
    <col min="8" max="9" width="5.77734375" customWidth="1"/>
    <col min="10" max="10" width="3" customWidth="1"/>
    <col min="11" max="11" width="6.21875" customWidth="1"/>
    <col min="12" max="12" width="10.21875" bestFit="1" customWidth="1"/>
    <col min="13" max="15" width="9" customWidth="1"/>
    <col min="16" max="16" width="6.21875" customWidth="1"/>
    <col min="17" max="20" width="11.21875" customWidth="1"/>
    <col min="21" max="22" width="3" customWidth="1"/>
    <col min="23" max="23" width="11.77734375" customWidth="1"/>
    <col min="24" max="24" width="12.77734375" customWidth="1"/>
    <col min="25" max="25" width="11.5546875" customWidth="1"/>
    <col min="27" max="27" width="12.5546875" customWidth="1"/>
    <col min="29" max="30" width="5.77734375" customWidth="1"/>
    <col min="31" max="31" width="3" customWidth="1"/>
    <col min="32" max="32" width="6.21875" customWidth="1"/>
    <col min="33" max="33" width="10.21875" bestFit="1" customWidth="1"/>
    <col min="34" max="36" width="9" customWidth="1"/>
    <col min="37" max="37" width="6.21875" customWidth="1"/>
    <col min="38" max="41" width="11.21875" customWidth="1"/>
    <col min="42" max="43" width="3" customWidth="1"/>
    <col min="44" max="44" width="11.77734375" customWidth="1"/>
    <col min="45" max="45" width="12.77734375" customWidth="1"/>
    <col min="46" max="46" width="11.5546875" customWidth="1"/>
    <col min="48" max="48" width="12.5546875" customWidth="1"/>
    <col min="50" max="51" width="5.77734375" customWidth="1"/>
    <col min="52" max="52" width="3" customWidth="1"/>
    <col min="53" max="53" width="6.21875" customWidth="1"/>
    <col min="54" max="54" width="10.21875" bestFit="1" customWidth="1"/>
    <col min="55" max="57" width="9" customWidth="1"/>
    <col min="58" max="58" width="6.21875" customWidth="1"/>
    <col min="59" max="62" width="11.21875" customWidth="1"/>
    <col min="63" max="64" width="3" customWidth="1"/>
    <col min="65" max="65" width="11.77734375" customWidth="1"/>
    <col min="66" max="66" width="12.77734375" customWidth="1"/>
    <col min="67" max="67" width="11.5546875" customWidth="1"/>
    <col min="69" max="69" width="12.5546875" customWidth="1"/>
    <col min="71" max="72" width="5.77734375" customWidth="1"/>
    <col min="73" max="73" width="3" customWidth="1"/>
    <col min="74" max="74" width="6.21875" customWidth="1"/>
    <col min="75" max="75" width="10.21875" bestFit="1" customWidth="1"/>
    <col min="76" max="78" width="9" customWidth="1"/>
    <col min="79" max="79" width="6.21875" customWidth="1"/>
    <col min="80" max="83" width="11.21875" customWidth="1"/>
    <col min="84" max="85" width="3" customWidth="1"/>
    <col min="86" max="86" width="11.77734375" customWidth="1"/>
    <col min="87" max="87" width="12.77734375" customWidth="1"/>
    <col min="88" max="88" width="11.5546875" customWidth="1"/>
    <col min="90" max="90" width="12.5546875" customWidth="1"/>
    <col min="92" max="93" width="5.77734375" customWidth="1"/>
    <col min="94" max="94" width="3" customWidth="1"/>
    <col min="95" max="95" width="6.21875" customWidth="1"/>
    <col min="96" max="96" width="10.21875" bestFit="1" customWidth="1"/>
    <col min="97" max="99" width="9" customWidth="1"/>
    <col min="100" max="100" width="6.21875" customWidth="1"/>
    <col min="101" max="104" width="11.21875" customWidth="1"/>
    <col min="105" max="105" width="3" customWidth="1"/>
  </cols>
  <sheetData>
    <row r="1" spans="1:105" ht="15" thickBot="1" x14ac:dyDescent="0.35">
      <c r="A1" s="5"/>
      <c r="B1" s="6"/>
      <c r="C1" s="6"/>
      <c r="D1" s="6"/>
      <c r="E1" s="6"/>
      <c r="F1" s="6"/>
      <c r="G1" s="6"/>
      <c r="H1" s="6"/>
      <c r="I1" s="6"/>
      <c r="J1" s="6"/>
      <c r="K1" s="6"/>
      <c r="L1" s="6"/>
      <c r="M1" s="6"/>
      <c r="N1" s="6"/>
      <c r="O1" s="6"/>
      <c r="P1" s="6"/>
      <c r="Q1" s="6"/>
      <c r="R1" s="6"/>
      <c r="S1" s="6"/>
      <c r="T1" s="6"/>
      <c r="U1" s="7"/>
      <c r="V1" s="5"/>
      <c r="W1" s="6"/>
      <c r="X1" s="6"/>
      <c r="Y1" s="6"/>
      <c r="Z1" s="6"/>
      <c r="AA1" s="6"/>
      <c r="AB1" s="6"/>
      <c r="AC1" s="6"/>
      <c r="AD1" s="6"/>
      <c r="AE1" s="6"/>
      <c r="AF1" s="6"/>
      <c r="AG1" s="6"/>
      <c r="AH1" s="6"/>
      <c r="AI1" s="6"/>
      <c r="AJ1" s="6"/>
      <c r="AK1" s="6"/>
      <c r="AL1" s="6"/>
      <c r="AM1" s="6"/>
      <c r="AN1" s="6"/>
      <c r="AO1" s="6"/>
      <c r="AP1" s="7"/>
      <c r="AQ1" s="5"/>
      <c r="AR1" s="6"/>
      <c r="AS1" s="6"/>
      <c r="AT1" s="6"/>
      <c r="AU1" s="6"/>
      <c r="AV1" s="6"/>
      <c r="AW1" s="6"/>
      <c r="AX1" s="6"/>
      <c r="AY1" s="6"/>
      <c r="AZ1" s="6"/>
      <c r="BA1" s="6"/>
      <c r="BB1" s="6"/>
      <c r="BC1" s="6"/>
      <c r="BD1" s="6"/>
      <c r="BE1" s="6"/>
      <c r="BF1" s="6"/>
      <c r="BG1" s="6"/>
      <c r="BH1" s="6"/>
      <c r="BI1" s="6"/>
      <c r="BJ1" s="6"/>
      <c r="BK1" s="7"/>
      <c r="BL1" s="5"/>
      <c r="BM1" s="6"/>
      <c r="BN1" s="6"/>
      <c r="BO1" s="6"/>
      <c r="BP1" s="6"/>
      <c r="BQ1" s="6"/>
      <c r="BR1" s="6"/>
      <c r="BS1" s="6"/>
      <c r="BT1" s="6"/>
      <c r="BU1" s="6"/>
      <c r="BV1" s="6"/>
      <c r="BW1" s="6"/>
      <c r="BX1" s="6"/>
      <c r="BY1" s="6"/>
      <c r="BZ1" s="6"/>
      <c r="CA1" s="6"/>
      <c r="CB1" s="6"/>
      <c r="CC1" s="6"/>
      <c r="CD1" s="6"/>
      <c r="CE1" s="6"/>
      <c r="CF1" s="7"/>
      <c r="CG1" s="5"/>
      <c r="CH1" s="6"/>
      <c r="CI1" s="6"/>
      <c r="CJ1" s="6"/>
      <c r="CK1" s="6"/>
      <c r="CL1" s="6"/>
      <c r="CM1" s="6"/>
      <c r="CN1" s="6"/>
      <c r="CO1" s="6"/>
      <c r="CP1" s="6"/>
      <c r="CQ1" s="6"/>
      <c r="CR1" s="6"/>
      <c r="CS1" s="6"/>
      <c r="CT1" s="6"/>
      <c r="CU1" s="6"/>
      <c r="CV1" s="6"/>
      <c r="CW1" s="6"/>
      <c r="CX1" s="6"/>
      <c r="CY1" s="6"/>
      <c r="CZ1" s="6"/>
      <c r="DA1" s="7"/>
    </row>
    <row r="2" spans="1:105" ht="24" thickBot="1" x14ac:dyDescent="0.5">
      <c r="A2" s="8"/>
      <c r="B2" s="553" t="s">
        <v>0</v>
      </c>
      <c r="C2" s="554"/>
      <c r="D2" s="554"/>
      <c r="E2" s="554"/>
      <c r="F2" s="554"/>
      <c r="G2" s="554"/>
      <c r="H2" s="554"/>
      <c r="I2" s="554"/>
      <c r="J2" s="554"/>
      <c r="K2" s="554"/>
      <c r="L2" s="554"/>
      <c r="M2" s="554"/>
      <c r="N2" s="554"/>
      <c r="O2" s="554"/>
      <c r="P2" s="554"/>
      <c r="Q2" s="554"/>
      <c r="R2" s="554"/>
      <c r="S2" s="554"/>
      <c r="T2" s="555"/>
      <c r="U2" s="9"/>
      <c r="V2" s="8"/>
      <c r="W2" s="553" t="s">
        <v>150</v>
      </c>
      <c r="X2" s="554"/>
      <c r="Y2" s="554"/>
      <c r="Z2" s="554"/>
      <c r="AA2" s="554"/>
      <c r="AB2" s="554"/>
      <c r="AC2" s="554"/>
      <c r="AD2" s="554"/>
      <c r="AE2" s="554"/>
      <c r="AF2" s="554"/>
      <c r="AG2" s="554"/>
      <c r="AH2" s="554"/>
      <c r="AI2" s="554"/>
      <c r="AJ2" s="554"/>
      <c r="AK2" s="554"/>
      <c r="AL2" s="554"/>
      <c r="AM2" s="554"/>
      <c r="AN2" s="554"/>
      <c r="AO2" s="555"/>
      <c r="AP2" s="9"/>
      <c r="AQ2" s="8"/>
      <c r="AR2" s="553" t="s">
        <v>163</v>
      </c>
      <c r="AS2" s="554"/>
      <c r="AT2" s="554"/>
      <c r="AU2" s="554"/>
      <c r="AV2" s="554"/>
      <c r="AW2" s="554"/>
      <c r="AX2" s="554"/>
      <c r="AY2" s="554"/>
      <c r="AZ2" s="554"/>
      <c r="BA2" s="554"/>
      <c r="BB2" s="554"/>
      <c r="BC2" s="554"/>
      <c r="BD2" s="554"/>
      <c r="BE2" s="554"/>
      <c r="BF2" s="554"/>
      <c r="BG2" s="554"/>
      <c r="BH2" s="554"/>
      <c r="BI2" s="554"/>
      <c r="BJ2" s="555"/>
      <c r="BK2" s="9"/>
      <c r="BL2" s="8"/>
      <c r="BM2" s="553" t="s">
        <v>164</v>
      </c>
      <c r="BN2" s="554"/>
      <c r="BO2" s="554"/>
      <c r="BP2" s="554"/>
      <c r="BQ2" s="554"/>
      <c r="BR2" s="554"/>
      <c r="BS2" s="554"/>
      <c r="BT2" s="554"/>
      <c r="BU2" s="554"/>
      <c r="BV2" s="554"/>
      <c r="BW2" s="554"/>
      <c r="BX2" s="554"/>
      <c r="BY2" s="554"/>
      <c r="BZ2" s="554"/>
      <c r="CA2" s="554"/>
      <c r="CB2" s="554"/>
      <c r="CC2" s="554"/>
      <c r="CD2" s="554"/>
      <c r="CE2" s="555"/>
      <c r="CF2" s="9"/>
      <c r="CG2" s="8"/>
      <c r="CH2" s="553" t="s">
        <v>284</v>
      </c>
      <c r="CI2" s="554"/>
      <c r="CJ2" s="554"/>
      <c r="CK2" s="554"/>
      <c r="CL2" s="554"/>
      <c r="CM2" s="554"/>
      <c r="CN2" s="554"/>
      <c r="CO2" s="554"/>
      <c r="CP2" s="554"/>
      <c r="CQ2" s="554"/>
      <c r="CR2" s="554"/>
      <c r="CS2" s="554"/>
      <c r="CT2" s="554"/>
      <c r="CU2" s="554"/>
      <c r="CV2" s="554"/>
      <c r="CW2" s="554"/>
      <c r="CX2" s="554"/>
      <c r="CY2" s="554"/>
      <c r="CZ2" s="555"/>
      <c r="DA2" s="9"/>
    </row>
    <row r="3" spans="1:105" s="160" customFormat="1" ht="15" thickBot="1" x14ac:dyDescent="0.35">
      <c r="A3" s="156"/>
      <c r="B3" s="157" t="s">
        <v>1</v>
      </c>
      <c r="C3" s="158"/>
      <c r="D3" s="158"/>
      <c r="E3" s="158"/>
      <c r="F3" s="158"/>
      <c r="G3" s="158"/>
      <c r="H3" s="158"/>
      <c r="I3" s="158"/>
      <c r="J3" s="158"/>
      <c r="K3" s="158"/>
      <c r="L3" s="158"/>
      <c r="M3" s="157" t="s">
        <v>29</v>
      </c>
      <c r="N3" s="158"/>
      <c r="O3" s="158"/>
      <c r="P3" s="158"/>
      <c r="Q3" s="158"/>
      <c r="R3" s="158"/>
      <c r="S3" s="158"/>
      <c r="T3" s="158"/>
      <c r="U3" s="159"/>
      <c r="V3" s="156"/>
      <c r="W3" s="157" t="s">
        <v>1</v>
      </c>
      <c r="X3" s="158"/>
      <c r="Y3" s="158"/>
      <c r="Z3" s="158"/>
      <c r="AA3" s="158"/>
      <c r="AB3" s="158"/>
      <c r="AC3" s="158"/>
      <c r="AD3" s="158"/>
      <c r="AE3" s="158"/>
      <c r="AF3" s="158"/>
      <c r="AG3" s="158"/>
      <c r="AH3" s="157" t="s">
        <v>29</v>
      </c>
      <c r="AI3" s="158"/>
      <c r="AJ3" s="158"/>
      <c r="AK3" s="158"/>
      <c r="AL3" s="158"/>
      <c r="AM3" s="158"/>
      <c r="AN3" s="158"/>
      <c r="AO3" s="158"/>
      <c r="AP3" s="159"/>
      <c r="AQ3" s="156"/>
      <c r="AR3" s="157" t="s">
        <v>1</v>
      </c>
      <c r="AS3" s="158"/>
      <c r="AT3" s="158"/>
      <c r="AU3" s="158"/>
      <c r="AV3" s="158"/>
      <c r="AW3" s="158"/>
      <c r="AX3" s="158"/>
      <c r="AY3" s="158"/>
      <c r="AZ3" s="158"/>
      <c r="BA3" s="158"/>
      <c r="BB3" s="158"/>
      <c r="BC3" s="157" t="s">
        <v>29</v>
      </c>
      <c r="BD3" s="158"/>
      <c r="BE3" s="158"/>
      <c r="BF3" s="158"/>
      <c r="BG3" s="158"/>
      <c r="BH3" s="158"/>
      <c r="BI3" s="158"/>
      <c r="BJ3" s="158"/>
      <c r="BK3" s="159"/>
      <c r="BL3" s="156"/>
      <c r="BM3" s="157" t="s">
        <v>1</v>
      </c>
      <c r="BN3" s="158"/>
      <c r="BO3" s="158"/>
      <c r="BP3" s="158"/>
      <c r="BQ3" s="158"/>
      <c r="BR3" s="158"/>
      <c r="BS3" s="158"/>
      <c r="BT3" s="158"/>
      <c r="BU3" s="158"/>
      <c r="BV3" s="158"/>
      <c r="BW3" s="158"/>
      <c r="BX3" s="157" t="s">
        <v>29</v>
      </c>
      <c r="BY3" s="158"/>
      <c r="BZ3" s="158"/>
      <c r="CA3" s="158"/>
      <c r="CB3" s="158"/>
      <c r="CC3" s="158"/>
      <c r="CD3" s="158"/>
      <c r="CE3" s="158"/>
      <c r="CF3" s="159"/>
      <c r="CG3" s="156"/>
      <c r="CH3" s="157" t="s">
        <v>1</v>
      </c>
      <c r="CI3" s="158"/>
      <c r="CJ3" s="158"/>
      <c r="CK3" s="158"/>
      <c r="CL3" s="158"/>
      <c r="CM3" s="158"/>
      <c r="CN3" s="158"/>
      <c r="CO3" s="158"/>
      <c r="CP3" s="158"/>
      <c r="CQ3" s="158"/>
      <c r="CR3" s="158"/>
      <c r="CS3" s="157" t="s">
        <v>29</v>
      </c>
      <c r="CT3" s="158"/>
      <c r="CU3" s="158"/>
      <c r="CV3" s="158"/>
      <c r="CW3" s="158"/>
      <c r="CX3" s="158"/>
      <c r="CY3" s="158"/>
      <c r="CZ3" s="158"/>
      <c r="DA3" s="159"/>
    </row>
    <row r="4" spans="1:105" ht="15" customHeight="1" thickBot="1" x14ac:dyDescent="0.35">
      <c r="A4" s="8"/>
      <c r="B4" s="764" t="s">
        <v>389</v>
      </c>
      <c r="C4" s="764"/>
      <c r="D4" s="764"/>
      <c r="E4" s="11"/>
      <c r="F4" s="11"/>
      <c r="G4" s="11"/>
      <c r="H4" s="11"/>
      <c r="I4" s="11"/>
      <c r="J4" s="11"/>
      <c r="K4" s="226"/>
      <c r="L4" s="227"/>
      <c r="M4" s="759" t="s">
        <v>8</v>
      </c>
      <c r="N4" s="759"/>
      <c r="O4" s="760"/>
      <c r="P4" s="228"/>
      <c r="Q4" s="229"/>
      <c r="R4" s="759" t="s">
        <v>8</v>
      </c>
      <c r="S4" s="759"/>
      <c r="T4" s="760"/>
      <c r="U4" s="9"/>
      <c r="V4" s="8"/>
      <c r="W4" s="334" t="s">
        <v>339</v>
      </c>
      <c r="X4" s="335"/>
      <c r="Y4" s="335"/>
      <c r="Z4" s="335"/>
      <c r="AA4" s="335"/>
      <c r="AB4" s="335"/>
      <c r="AC4" s="335"/>
      <c r="AD4" s="11"/>
      <c r="AE4" s="11"/>
      <c r="AF4" s="226"/>
      <c r="AG4" s="227"/>
      <c r="AH4" s="759" t="s">
        <v>8</v>
      </c>
      <c r="AI4" s="759"/>
      <c r="AJ4" s="760"/>
      <c r="AK4" s="228"/>
      <c r="AL4" s="229"/>
      <c r="AM4" s="759" t="s">
        <v>8</v>
      </c>
      <c r="AN4" s="759"/>
      <c r="AO4" s="760"/>
      <c r="AP4" s="9"/>
      <c r="AQ4" s="8"/>
      <c r="AR4" s="11"/>
      <c r="AS4" s="11"/>
      <c r="AT4" s="11"/>
      <c r="AU4" s="11"/>
      <c r="AV4" s="11"/>
      <c r="AW4" s="11"/>
      <c r="AX4" s="11"/>
      <c r="AY4" s="11"/>
      <c r="AZ4" s="11"/>
      <c r="BA4" s="226"/>
      <c r="BB4" s="227"/>
      <c r="BC4" s="759" t="s">
        <v>8</v>
      </c>
      <c r="BD4" s="759"/>
      <c r="BE4" s="760"/>
      <c r="BF4" s="228"/>
      <c r="BG4" s="229"/>
      <c r="BH4" s="759" t="s">
        <v>8</v>
      </c>
      <c r="BI4" s="759"/>
      <c r="BJ4" s="760"/>
      <c r="BK4" s="9"/>
      <c r="BL4" s="8"/>
      <c r="BM4" s="11"/>
      <c r="BN4" s="11"/>
      <c r="BO4" s="11"/>
      <c r="BP4" s="11"/>
      <c r="BQ4" s="11"/>
      <c r="BR4" s="11"/>
      <c r="BS4" s="11"/>
      <c r="BT4" s="11"/>
      <c r="BU4" s="11"/>
      <c r="BV4" s="226"/>
      <c r="BW4" s="227"/>
      <c r="BX4" s="759" t="s">
        <v>8</v>
      </c>
      <c r="BY4" s="759"/>
      <c r="BZ4" s="760"/>
      <c r="CA4" s="228"/>
      <c r="CB4" s="229"/>
      <c r="CC4" s="759" t="s">
        <v>8</v>
      </c>
      <c r="CD4" s="759"/>
      <c r="CE4" s="760"/>
      <c r="CF4" s="9"/>
      <c r="CG4" s="8"/>
      <c r="CH4" s="157" t="s">
        <v>286</v>
      </c>
      <c r="CI4" s="11"/>
      <c r="CJ4" s="11"/>
      <c r="CK4" s="11"/>
      <c r="CL4" s="11"/>
      <c r="CM4" s="11"/>
      <c r="CN4" s="11"/>
      <c r="CO4" s="11"/>
      <c r="CP4" s="11"/>
      <c r="CQ4" s="226"/>
      <c r="CR4" s="227"/>
      <c r="CS4" s="759" t="s">
        <v>8</v>
      </c>
      <c r="CT4" s="759"/>
      <c r="CU4" s="760"/>
      <c r="CV4" s="228"/>
      <c r="CW4" s="229"/>
      <c r="CX4" s="759" t="s">
        <v>8</v>
      </c>
      <c r="CY4" s="759"/>
      <c r="CZ4" s="760"/>
      <c r="DA4" s="9"/>
    </row>
    <row r="5" spans="1:105" ht="72" x14ac:dyDescent="0.3">
      <c r="A5" s="8"/>
      <c r="B5" s="130" t="s">
        <v>5</v>
      </c>
      <c r="C5" s="126" t="s">
        <v>2</v>
      </c>
      <c r="D5" s="127" t="s">
        <v>3</v>
      </c>
      <c r="E5" s="219" t="s">
        <v>177</v>
      </c>
      <c r="F5" s="761" t="s">
        <v>151</v>
      </c>
      <c r="G5" s="762"/>
      <c r="H5" s="763"/>
      <c r="I5" s="11"/>
      <c r="J5" s="11"/>
      <c r="K5" s="29" t="s">
        <v>6</v>
      </c>
      <c r="L5" s="119" t="s">
        <v>7</v>
      </c>
      <c r="M5" s="220">
        <f>Inputs!$C$18</f>
        <v>4.0000000000000008E-2</v>
      </c>
      <c r="N5" s="221">
        <f>Inputs!$C$17</f>
        <v>7.0000000000000007E-2</v>
      </c>
      <c r="O5" s="222">
        <f>Inputs!$C$19</f>
        <v>0.1</v>
      </c>
      <c r="P5" s="29" t="s">
        <v>6</v>
      </c>
      <c r="Q5" s="119" t="s">
        <v>7</v>
      </c>
      <c r="R5" s="223">
        <f>M5</f>
        <v>4.0000000000000008E-2</v>
      </c>
      <c r="S5" s="224">
        <f>N5</f>
        <v>7.0000000000000007E-2</v>
      </c>
      <c r="T5" s="225">
        <f>O5</f>
        <v>0.1</v>
      </c>
      <c r="U5" s="9"/>
      <c r="V5" s="8"/>
      <c r="W5" s="130" t="s">
        <v>5</v>
      </c>
      <c r="X5" s="126" t="s">
        <v>2</v>
      </c>
      <c r="Y5" s="127" t="s">
        <v>3</v>
      </c>
      <c r="Z5" s="219" t="s">
        <v>177</v>
      </c>
      <c r="AA5" s="761" t="s">
        <v>151</v>
      </c>
      <c r="AB5" s="762"/>
      <c r="AC5" s="763"/>
      <c r="AD5" s="11"/>
      <c r="AE5" s="11"/>
      <c r="AF5" s="29" t="s">
        <v>6</v>
      </c>
      <c r="AG5" s="119" t="s">
        <v>7</v>
      </c>
      <c r="AH5" s="220">
        <f>M5</f>
        <v>4.0000000000000008E-2</v>
      </c>
      <c r="AI5" s="220">
        <f>N5</f>
        <v>7.0000000000000007E-2</v>
      </c>
      <c r="AJ5" s="220">
        <f>O5</f>
        <v>0.1</v>
      </c>
      <c r="AK5" s="29" t="s">
        <v>6</v>
      </c>
      <c r="AL5" s="119" t="s">
        <v>7</v>
      </c>
      <c r="AM5" s="223">
        <f>AH5</f>
        <v>4.0000000000000008E-2</v>
      </c>
      <c r="AN5" s="224">
        <f>AI5</f>
        <v>7.0000000000000007E-2</v>
      </c>
      <c r="AO5" s="225">
        <f>AJ5</f>
        <v>0.1</v>
      </c>
      <c r="AP5" s="9"/>
      <c r="AQ5" s="8"/>
      <c r="AR5" s="130" t="s">
        <v>5</v>
      </c>
      <c r="AS5" s="126" t="s">
        <v>2</v>
      </c>
      <c r="AT5" s="127" t="s">
        <v>3</v>
      </c>
      <c r="AU5" s="219" t="s">
        <v>177</v>
      </c>
      <c r="AV5" s="761" t="s">
        <v>151</v>
      </c>
      <c r="AW5" s="762"/>
      <c r="AX5" s="763"/>
      <c r="AY5" s="11"/>
      <c r="AZ5" s="11"/>
      <c r="BA5" s="29" t="s">
        <v>6</v>
      </c>
      <c r="BB5" s="119" t="s">
        <v>7</v>
      </c>
      <c r="BC5" s="220">
        <f>M5</f>
        <v>4.0000000000000008E-2</v>
      </c>
      <c r="BD5" s="220">
        <f>N5</f>
        <v>7.0000000000000007E-2</v>
      </c>
      <c r="BE5" s="220">
        <f>O5</f>
        <v>0.1</v>
      </c>
      <c r="BF5" s="29" t="s">
        <v>6</v>
      </c>
      <c r="BG5" s="119" t="s">
        <v>7</v>
      </c>
      <c r="BH5" s="223">
        <f>BC5</f>
        <v>4.0000000000000008E-2</v>
      </c>
      <c r="BI5" s="224">
        <f>BD5</f>
        <v>7.0000000000000007E-2</v>
      </c>
      <c r="BJ5" s="225">
        <f>BE5</f>
        <v>0.1</v>
      </c>
      <c r="BK5" s="9"/>
      <c r="BL5" s="8"/>
      <c r="BM5" s="130" t="s">
        <v>5</v>
      </c>
      <c r="BN5" s="126" t="s">
        <v>2</v>
      </c>
      <c r="BO5" s="127" t="s">
        <v>3</v>
      </c>
      <c r="BP5" s="219" t="s">
        <v>177</v>
      </c>
      <c r="BQ5" s="761" t="s">
        <v>151</v>
      </c>
      <c r="BR5" s="762"/>
      <c r="BS5" s="763"/>
      <c r="BT5" s="11"/>
      <c r="BU5" s="11"/>
      <c r="BV5" s="29" t="s">
        <v>6</v>
      </c>
      <c r="BW5" s="119" t="s">
        <v>7</v>
      </c>
      <c r="BX5" s="220">
        <f>M5</f>
        <v>4.0000000000000008E-2</v>
      </c>
      <c r="BY5" s="220">
        <f>N5</f>
        <v>7.0000000000000007E-2</v>
      </c>
      <c r="BZ5" s="220">
        <f>O5</f>
        <v>0.1</v>
      </c>
      <c r="CA5" s="29" t="s">
        <v>6</v>
      </c>
      <c r="CB5" s="119" t="s">
        <v>7</v>
      </c>
      <c r="CC5" s="223">
        <f>BX5</f>
        <v>4.0000000000000008E-2</v>
      </c>
      <c r="CD5" s="224">
        <f>BY5</f>
        <v>7.0000000000000007E-2</v>
      </c>
      <c r="CE5" s="225">
        <f>BZ5</f>
        <v>0.1</v>
      </c>
      <c r="CF5" s="9"/>
      <c r="CG5" s="8"/>
      <c r="CH5" s="130" t="s">
        <v>5</v>
      </c>
      <c r="CI5" s="126" t="s">
        <v>287</v>
      </c>
      <c r="CJ5" s="127" t="s">
        <v>288</v>
      </c>
      <c r="CK5" s="219" t="s">
        <v>177</v>
      </c>
      <c r="CL5" s="219" t="s">
        <v>282</v>
      </c>
      <c r="CM5" s="765" t="s">
        <v>151</v>
      </c>
      <c r="CN5" s="766"/>
      <c r="CO5" s="11"/>
      <c r="CP5" s="11"/>
      <c r="CQ5" s="29" t="s">
        <v>6</v>
      </c>
      <c r="CR5" s="119" t="s">
        <v>7</v>
      </c>
      <c r="CS5" s="220">
        <f>M5</f>
        <v>4.0000000000000008E-2</v>
      </c>
      <c r="CT5" s="220">
        <f>N5</f>
        <v>7.0000000000000007E-2</v>
      </c>
      <c r="CU5" s="220">
        <f>O5</f>
        <v>0.1</v>
      </c>
      <c r="CV5" s="29" t="s">
        <v>6</v>
      </c>
      <c r="CW5" s="119" t="s">
        <v>7</v>
      </c>
      <c r="CX5" s="223">
        <f>CS5</f>
        <v>4.0000000000000008E-2</v>
      </c>
      <c r="CY5" s="224">
        <f>CT5</f>
        <v>7.0000000000000007E-2</v>
      </c>
      <c r="CZ5" s="225">
        <f>CU5</f>
        <v>0.1</v>
      </c>
      <c r="DA5" s="9"/>
    </row>
    <row r="6" spans="1:105" x14ac:dyDescent="0.3">
      <c r="A6" s="8"/>
      <c r="B6" s="131">
        <f>Properties!$L$10</f>
        <v>1.0000000000000001E-5</v>
      </c>
      <c r="C6" s="128">
        <f ca="1">Properties!$DA6</f>
        <v>29350888.96249456</v>
      </c>
      <c r="D6" s="129">
        <f t="shared" ref="D6:D15" ca="1" si="0">SUM(Y6,AT6,BO6,CJ6)</f>
        <v>44325.759017669276</v>
      </c>
      <c r="E6" s="345">
        <f>SummaryCombined[[#This Row],[Flooding Count]]</f>
        <v>119</v>
      </c>
      <c r="F6" s="746"/>
      <c r="G6" s="747"/>
      <c r="H6" s="748"/>
      <c r="I6" s="11"/>
      <c r="J6" s="11"/>
      <c r="K6" s="27">
        <v>1</v>
      </c>
      <c r="L6" s="120">
        <f ca="1">$D$16*(1+$P$34)^K6</f>
        <v>474847.65054547589</v>
      </c>
      <c r="M6" s="1">
        <f t="shared" ref="M6:O30" ca="1" si="1">IF($K6&gt;$P$33,0,+$L6/((1+M$5)^$K6))</f>
        <v>456584.27937064989</v>
      </c>
      <c r="N6" s="30">
        <f t="shared" ca="1" si="1"/>
        <v>443782.85097708023</v>
      </c>
      <c r="O6" s="2">
        <f t="shared" ca="1" si="1"/>
        <v>431679.68231406895</v>
      </c>
      <c r="P6" s="27">
        <v>26</v>
      </c>
      <c r="Q6" s="120">
        <f t="shared" ref="Q6:Q30" ca="1" si="2">$D$16*(1+$P$34)^P6</f>
        <v>474847.65054547589</v>
      </c>
      <c r="R6" s="1">
        <f t="shared" ref="R6:T30" ca="1" si="3">IF($P6&gt;$P$33,0,+$Q6/((1+R$5)^$P6))</f>
        <v>171272.43483694864</v>
      </c>
      <c r="S6" s="30">
        <f t="shared" ca="1" si="3"/>
        <v>81766.625291001663</v>
      </c>
      <c r="T6" s="2">
        <f t="shared" ca="1" si="3"/>
        <v>39842.307171934903</v>
      </c>
      <c r="U6" s="9"/>
      <c r="V6" s="8"/>
      <c r="W6" s="131">
        <f>Properties!$L$10</f>
        <v>1.0000000000000001E-5</v>
      </c>
      <c r="X6" s="128">
        <f ca="1">Properties!$CC6</f>
        <v>18472151.351965293</v>
      </c>
      <c r="Y6" s="129">
        <f ca="1">IFERROR(((X6+X7)/2*(W7-W6)),X6/2)</f>
        <v>27356.564988288861</v>
      </c>
      <c r="Z6" s="345">
        <f>SummaryStructural[[#This Row],[Over Floor Flooding]]</f>
        <v>119</v>
      </c>
      <c r="AA6" s="746"/>
      <c r="AB6" s="747"/>
      <c r="AC6" s="748"/>
      <c r="AD6" s="11"/>
      <c r="AE6" s="11"/>
      <c r="AF6" s="27">
        <f t="shared" ref="AF6:AF30" si="4">K6</f>
        <v>1</v>
      </c>
      <c r="AG6" s="120">
        <f t="shared" ref="AG6:AG30" ca="1" si="5">$Y$16*(1+$AK$34)^AF6</f>
        <v>260441.20659137049</v>
      </c>
      <c r="AH6" s="1">
        <f t="shared" ref="AH6:AJ30" ca="1" si="6">IF($AF6&gt;$AK$33,0,+$AG6/((1+AH$5)^$AF6))</f>
        <v>250424.23710708698</v>
      </c>
      <c r="AI6" s="30">
        <f t="shared" ca="1" si="6"/>
        <v>243402.99681436492</v>
      </c>
      <c r="AJ6" s="2">
        <f t="shared" ca="1" si="6"/>
        <v>236764.73326488223</v>
      </c>
      <c r="AK6" s="27">
        <f t="shared" ref="AK6:AK30" si="7">P6</f>
        <v>26</v>
      </c>
      <c r="AL6" s="120">
        <f t="shared" ref="AL6:AL30" ca="1" si="8">$Y$16*(1+$AK$34)^AK6</f>
        <v>260441.20659137049</v>
      </c>
      <c r="AM6" s="1">
        <f t="shared" ref="AM6:AO30" ca="1" si="9">IF($AK6&gt;$AK$33,0,+$AL6/((1+AM$5)^$AK6))</f>
        <v>93938.339030498901</v>
      </c>
      <c r="AN6" s="30">
        <f t="shared" ca="1" si="9"/>
        <v>44846.801969495042</v>
      </c>
      <c r="AO6" s="2">
        <f t="shared" ca="1" si="9"/>
        <v>21852.437389808631</v>
      </c>
      <c r="AP6" s="9"/>
      <c r="AQ6" s="8"/>
      <c r="AR6" s="131">
        <f>Properties!$L$10</f>
        <v>1.0000000000000001E-5</v>
      </c>
      <c r="AS6" s="128">
        <f ca="1">Properties!$CI6</f>
        <v>9277982.9072007574</v>
      </c>
      <c r="AT6" s="129">
        <f t="shared" ref="AT6:AT15" ca="1" si="10">IFERROR(((AS6+AS7)/2*(AR7-AR6)),AS6/2)</f>
        <v>14190.351981623544</v>
      </c>
      <c r="AU6" s="345">
        <f>SummaryInternal[[#This Row],[Over Floor Flooding]]</f>
        <v>119</v>
      </c>
      <c r="AV6" s="746"/>
      <c r="AW6" s="747"/>
      <c r="AX6" s="748"/>
      <c r="AY6" s="11"/>
      <c r="AZ6" s="11"/>
      <c r="BA6" s="27">
        <f t="shared" ref="BA6:BA30" si="11">K6</f>
        <v>1</v>
      </c>
      <c r="BB6" s="120">
        <f t="shared" ref="BB6:BB30" ca="1" si="12">$AT$16*(1+$BF$34)^BA6</f>
        <v>150379.15596327081</v>
      </c>
      <c r="BC6" s="1">
        <f t="shared" ref="BC6:BE30" ca="1" si="13">IF($BA6&gt;$BF$33,0,+$BB6/((1+BC$5)^$BA6))</f>
        <v>144595.34227237577</v>
      </c>
      <c r="BD6" s="30">
        <f t="shared" ca="1" si="13"/>
        <v>140541.26725539326</v>
      </c>
      <c r="BE6" s="2">
        <f t="shared" ca="1" si="13"/>
        <v>136708.32360297345</v>
      </c>
      <c r="BF6" s="27">
        <f t="shared" ref="BF6:BF30" si="14">P6</f>
        <v>26</v>
      </c>
      <c r="BG6" s="120">
        <f t="shared" ref="BG6:BG30" ca="1" si="15">$AT$16*(1+$BF$34)^BF6</f>
        <v>150379.15596327081</v>
      </c>
      <c r="BH6" s="1">
        <f t="shared" ref="BH6:BJ30" ca="1" si="16">IF($BF6&gt;$BF$33,0,+$BG6/((1+BH$5)^$BF6))</f>
        <v>54240.142414030997</v>
      </c>
      <c r="BI6" s="30">
        <f t="shared" ca="1" si="16"/>
        <v>25894.612899739474</v>
      </c>
      <c r="BJ6" s="2">
        <f t="shared" ca="1" si="16"/>
        <v>12617.631186049521</v>
      </c>
      <c r="BK6" s="9"/>
      <c r="BL6" s="8"/>
      <c r="BM6" s="131">
        <f>Properties!$L$10</f>
        <v>1.0000000000000001E-5</v>
      </c>
      <c r="BN6" s="128">
        <f>Properties!$CO6</f>
        <v>1600754.7033285093</v>
      </c>
      <c r="BO6" s="129">
        <f t="shared" ref="BO6:BO15" si="17">IFERROR(((BN6+BN7)/2*(BM7-BM6)),BN6/2)</f>
        <v>2778.8420477568739</v>
      </c>
      <c r="BP6" s="345">
        <f>SummaryExternal[[#This Row],[Over Ground Flooding]]</f>
        <v>119</v>
      </c>
      <c r="BQ6" s="746"/>
      <c r="BR6" s="747"/>
      <c r="BS6" s="748"/>
      <c r="BT6" s="11"/>
      <c r="BU6" s="11"/>
      <c r="BV6" s="27">
        <f t="shared" ref="BV6:BV30" si="18">K6</f>
        <v>1</v>
      </c>
      <c r="BW6" s="120">
        <f t="shared" ref="BW6:BW30" si="19">$BO$16*(1+$CA$34)^BV6</f>
        <v>51278.303697539799</v>
      </c>
      <c r="BX6" s="1">
        <f t="shared" ref="BX6:BZ30" si="20">IF($BV6&gt;$CA$33,0,+$BW6/((1+BX$5)^$BV6))</f>
        <v>49306.061247634418</v>
      </c>
      <c r="BY6" s="30">
        <f t="shared" si="20"/>
        <v>47923.648315457751</v>
      </c>
      <c r="BZ6" s="2">
        <f t="shared" si="20"/>
        <v>46616.639725036177</v>
      </c>
      <c r="CA6" s="27">
        <f t="shared" ref="CA6:CA30" si="21">P6</f>
        <v>26</v>
      </c>
      <c r="CB6" s="120">
        <f t="shared" ref="CB6:CB30" si="22">$BO$16*(1+$CA$34)^CA6</f>
        <v>51278.303697539799</v>
      </c>
      <c r="CC6" s="1">
        <f t="shared" ref="CC6:CE30" si="23">IF($CA6&gt;$CA$33,0,+$CB6/((1+CC$5)^$CA6))</f>
        <v>18495.53202695071</v>
      </c>
      <c r="CD6" s="30">
        <f t="shared" si="23"/>
        <v>8829.8927859881551</v>
      </c>
      <c r="CE6" s="2">
        <f t="shared" si="23"/>
        <v>4302.5292950827907</v>
      </c>
      <c r="CF6" s="9"/>
      <c r="CG6" s="8"/>
      <c r="CH6" s="131">
        <f>Properties!$L$10</f>
        <v>1.0000000000000001E-5</v>
      </c>
      <c r="CI6" s="128">
        <f>Properties!$CU6</f>
        <v>0</v>
      </c>
      <c r="CJ6" s="129" cm="1">
        <f t="array" ref="CJ6">IFERROR(((CI6+CI7)/2*(CH7-CH6)),CI6/2)+(_xlfn.IFNA((CL6-CL7)*AWE*VLOOKUP(CH6,SocialWTP,2,TRUE),0))</f>
        <v>0</v>
      </c>
      <c r="CK6" s="345">
        <f>SummaryRiskToLife[[#This Row],[Over Ground Flooding]]</f>
        <v>119</v>
      </c>
      <c r="CL6" s="345">
        <f>Properties!$CX$20</f>
        <v>94</v>
      </c>
      <c r="CM6" s="767"/>
      <c r="CN6" s="768"/>
      <c r="CO6" s="11"/>
      <c r="CP6" s="11"/>
      <c r="CQ6" s="27">
        <f t="shared" ref="CQ6:CQ30" si="24">K6</f>
        <v>1</v>
      </c>
      <c r="CR6" s="120">
        <f t="shared" ref="CR6:CR30" si="25">$CJ$16*(1+$CV$34)^CQ6</f>
        <v>12748.984293294741</v>
      </c>
      <c r="CS6" s="1">
        <f t="shared" ref="CS6:CU30" si="26">IF($CQ6&gt;$CV$33,0,+$CR6/((1+CS$5)^$CQ6))</f>
        <v>12258.638743552636</v>
      </c>
      <c r="CT6" s="30">
        <f t="shared" si="26"/>
        <v>11914.938591864244</v>
      </c>
      <c r="CU6" s="2">
        <f t="shared" si="26"/>
        <v>11589.985721177036</v>
      </c>
      <c r="CV6" s="27">
        <f t="shared" ref="CV6:CV30" si="27">P6</f>
        <v>26</v>
      </c>
      <c r="CW6" s="120">
        <f t="shared" ref="CW6:CW30" si="28">$CJ$16*(1+$CV$34)^CV6</f>
        <v>12748.984293294741</v>
      </c>
      <c r="CX6" s="1">
        <f t="shared" ref="CX6:CZ30" si="29">IF($CV6&gt;$CV$33,0,+$CW6/((1+CX$5)^$CV6))</f>
        <v>4598.4213654680134</v>
      </c>
      <c r="CY6" s="30">
        <f t="shared" si="29"/>
        <v>2195.3176357789785</v>
      </c>
      <c r="CZ6" s="2">
        <f t="shared" si="29"/>
        <v>1069.7093009939542</v>
      </c>
      <c r="DA6" s="9"/>
    </row>
    <row r="7" spans="1:105" x14ac:dyDescent="0.3">
      <c r="A7" s="8"/>
      <c r="B7" s="132">
        <f>Properties!$M$10</f>
        <v>2E-3</v>
      </c>
      <c r="C7" s="128">
        <f ca="1">Properties!$DA7</f>
        <v>15197612.562801197</v>
      </c>
      <c r="D7" s="129">
        <f t="shared" ca="1" si="0"/>
        <v>41469.484849799657</v>
      </c>
      <c r="E7" s="345">
        <f>SummaryCombined[[#This Row],[Flooding Count]]</f>
        <v>99</v>
      </c>
      <c r="F7" s="746"/>
      <c r="G7" s="747"/>
      <c r="H7" s="748"/>
      <c r="I7" s="11"/>
      <c r="J7" s="11"/>
      <c r="K7" s="27">
        <v>2</v>
      </c>
      <c r="L7" s="120">
        <f ca="1">$D$16*(1+$P$34)^K7</f>
        <v>474847.65054547589</v>
      </c>
      <c r="M7" s="1">
        <f t="shared" ca="1" si="1"/>
        <v>439023.34554870176</v>
      </c>
      <c r="N7" s="30">
        <f t="shared" ca="1" si="1"/>
        <v>414750.32801596285</v>
      </c>
      <c r="O7" s="2">
        <f t="shared" ca="1" si="1"/>
        <v>392436.07483097177</v>
      </c>
      <c r="P7" s="27">
        <v>27</v>
      </c>
      <c r="Q7" s="120">
        <f t="shared" ca="1" si="2"/>
        <v>474847.65054547589</v>
      </c>
      <c r="R7" s="1">
        <f t="shared" ca="1" si="3"/>
        <v>164685.033497066</v>
      </c>
      <c r="S7" s="30">
        <f t="shared" ca="1" si="3"/>
        <v>76417.406814020229</v>
      </c>
      <c r="T7" s="2">
        <f t="shared" ca="1" si="3"/>
        <v>36220.279247213541</v>
      </c>
      <c r="U7" s="9"/>
      <c r="V7" s="8"/>
      <c r="W7" s="132">
        <f>Properties!$M$10</f>
        <v>2E-3</v>
      </c>
      <c r="X7" s="128">
        <f ca="1">Properties!$CC7</f>
        <v>9021883.8121441137</v>
      </c>
      <c r="Y7" s="129">
        <f t="shared" ref="Y7:Y15" ca="1" si="30">IFERROR(((X7+X8)/2*(W8-W7)),X7/2)</f>
        <v>24527.771663051364</v>
      </c>
      <c r="Z7" s="345">
        <f>SummaryStructural[[#This Row],[Over Floor Flooding]]</f>
        <v>74</v>
      </c>
      <c r="AA7" s="746"/>
      <c r="AB7" s="747"/>
      <c r="AC7" s="748"/>
      <c r="AD7" s="11"/>
      <c r="AE7" s="11"/>
      <c r="AF7" s="27">
        <f t="shared" si="4"/>
        <v>2</v>
      </c>
      <c r="AG7" s="120">
        <f t="shared" ca="1" si="5"/>
        <v>260441.20659137049</v>
      </c>
      <c r="AH7" s="1">
        <f t="shared" ca="1" si="6"/>
        <v>240792.53567989133</v>
      </c>
      <c r="AI7" s="30">
        <f t="shared" ca="1" si="6"/>
        <v>227479.43627510741</v>
      </c>
      <c r="AJ7" s="2">
        <f t="shared" ca="1" si="6"/>
        <v>215240.66660443839</v>
      </c>
      <c r="AK7" s="27">
        <f t="shared" si="7"/>
        <v>27</v>
      </c>
      <c r="AL7" s="120">
        <f t="shared" ca="1" si="8"/>
        <v>260441.20659137049</v>
      </c>
      <c r="AM7" s="1">
        <f t="shared" ca="1" si="9"/>
        <v>90325.325990864323</v>
      </c>
      <c r="AN7" s="30">
        <f t="shared" ca="1" si="9"/>
        <v>41912.899036911251</v>
      </c>
      <c r="AO7" s="2">
        <f t="shared" ca="1" si="9"/>
        <v>19865.852172553296</v>
      </c>
      <c r="AP7" s="9"/>
      <c r="AQ7" s="8"/>
      <c r="AR7" s="132">
        <f>Properties!$M$10</f>
        <v>2E-3</v>
      </c>
      <c r="AS7" s="128">
        <f ca="1">Properties!$CI7</f>
        <v>4983677.3758379798</v>
      </c>
      <c r="AT7" s="129">
        <f t="shared" ca="1" si="10"/>
        <v>13569.910726545686</v>
      </c>
      <c r="AU7" s="345">
        <f>SummaryInternal[[#This Row],[Over Floor Flooding]]</f>
        <v>74</v>
      </c>
      <c r="AV7" s="746"/>
      <c r="AW7" s="747"/>
      <c r="AX7" s="748"/>
      <c r="AY7" s="11"/>
      <c r="AZ7" s="11"/>
      <c r="BA7" s="27">
        <f t="shared" si="11"/>
        <v>2</v>
      </c>
      <c r="BB7" s="120">
        <f t="shared" ca="1" si="12"/>
        <v>150379.15596327081</v>
      </c>
      <c r="BC7" s="1">
        <f t="shared" ca="1" si="13"/>
        <v>139033.98295420746</v>
      </c>
      <c r="BD7" s="30">
        <f t="shared" ca="1" si="13"/>
        <v>131346.9787433582</v>
      </c>
      <c r="BE7" s="2">
        <f t="shared" ca="1" si="13"/>
        <v>124280.29418452131</v>
      </c>
      <c r="BF7" s="27">
        <f t="shared" si="14"/>
        <v>27</v>
      </c>
      <c r="BG7" s="120">
        <f t="shared" ca="1" si="15"/>
        <v>150379.15596327081</v>
      </c>
      <c r="BH7" s="1">
        <f t="shared" ca="1" si="16"/>
        <v>52153.983090414418</v>
      </c>
      <c r="BI7" s="30">
        <f t="shared" ca="1" si="16"/>
        <v>24200.57280349483</v>
      </c>
      <c r="BJ7" s="2">
        <f t="shared" ca="1" si="16"/>
        <v>11470.573805499562</v>
      </c>
      <c r="BK7" s="9"/>
      <c r="BL7" s="8"/>
      <c r="BM7" s="132">
        <f>Properties!$M$10</f>
        <v>2E-3</v>
      </c>
      <c r="BN7" s="128">
        <f>Properties!$CO7</f>
        <v>1192051.3748191027</v>
      </c>
      <c r="BO7" s="129">
        <f t="shared" si="17"/>
        <v>3371.8024602026044</v>
      </c>
      <c r="BP7" s="345">
        <f>SummaryExternal[[#This Row],[Over Ground Flooding]]</f>
        <v>99</v>
      </c>
      <c r="BQ7" s="746"/>
      <c r="BR7" s="747"/>
      <c r="BS7" s="748"/>
      <c r="BT7" s="11"/>
      <c r="BU7" s="11"/>
      <c r="BV7" s="27">
        <f t="shared" si="18"/>
        <v>2</v>
      </c>
      <c r="BW7" s="120">
        <f t="shared" si="19"/>
        <v>51278.303697539799</v>
      </c>
      <c r="BX7" s="1">
        <f t="shared" si="20"/>
        <v>47409.674276571553</v>
      </c>
      <c r="BY7" s="30">
        <f t="shared" si="20"/>
        <v>44788.456369586689</v>
      </c>
      <c r="BZ7" s="2">
        <f t="shared" si="20"/>
        <v>42378.763386396524</v>
      </c>
      <c r="CA7" s="27">
        <f t="shared" si="21"/>
        <v>27</v>
      </c>
      <c r="CB7" s="120">
        <f t="shared" si="22"/>
        <v>51278.303697539799</v>
      </c>
      <c r="CC7" s="1">
        <f t="shared" si="23"/>
        <v>17784.165410529527</v>
      </c>
      <c r="CD7" s="30">
        <f t="shared" si="23"/>
        <v>8252.2362485870581</v>
      </c>
      <c r="CE7" s="2">
        <f t="shared" si="23"/>
        <v>3911.390268257082</v>
      </c>
      <c r="CF7" s="9"/>
      <c r="CG7" s="8"/>
      <c r="CH7" s="132">
        <f>Properties!$M$10</f>
        <v>2E-3</v>
      </c>
      <c r="CI7" s="128">
        <f>Properties!$CU7</f>
        <v>0</v>
      </c>
      <c r="CJ7" s="129" cm="1">
        <f t="array" ref="CJ7">IFERROR(((CI7+CI8)/2*(CH8-CH7)),CI7/2)+(_xlfn.IFNA((CL7-CL8)*AWE*VLOOKUP(CH7,SocialWTP,2,TRUE),0))</f>
        <v>0</v>
      </c>
      <c r="CK7" s="345">
        <f>SummaryRiskToLife[[#This Row],[Over Ground Flooding]]</f>
        <v>99</v>
      </c>
      <c r="CL7" s="345">
        <f>Properties!$CX$23</f>
        <v>58</v>
      </c>
      <c r="CM7" s="767"/>
      <c r="CN7" s="768"/>
      <c r="CO7" s="11"/>
      <c r="CP7" s="11"/>
      <c r="CQ7" s="27">
        <f t="shared" si="24"/>
        <v>2</v>
      </c>
      <c r="CR7" s="120">
        <f t="shared" si="25"/>
        <v>12748.984293294741</v>
      </c>
      <c r="CS7" s="1">
        <f t="shared" si="26"/>
        <v>11787.152638031379</v>
      </c>
      <c r="CT7" s="30">
        <f t="shared" si="26"/>
        <v>11135.456627910507</v>
      </c>
      <c r="CU7" s="2">
        <f t="shared" si="26"/>
        <v>10536.350655615486</v>
      </c>
      <c r="CV7" s="27">
        <f t="shared" si="27"/>
        <v>27</v>
      </c>
      <c r="CW7" s="120">
        <f t="shared" si="28"/>
        <v>12748.984293294741</v>
      </c>
      <c r="CX7" s="1">
        <f t="shared" si="29"/>
        <v>4421.5590052577054</v>
      </c>
      <c r="CY7" s="30">
        <f t="shared" si="29"/>
        <v>2051.6987250270822</v>
      </c>
      <c r="CZ7" s="2">
        <f t="shared" si="29"/>
        <v>972.46300090359455</v>
      </c>
      <c r="DA7" s="9"/>
    </row>
    <row r="8" spans="1:105" x14ac:dyDescent="0.3">
      <c r="A8" s="8"/>
      <c r="B8" s="132">
        <f>Properties!$N$10</f>
        <v>5.0000000000000001E-3</v>
      </c>
      <c r="C8" s="128">
        <f ca="1">Properties!$DA8</f>
        <v>12448710.670398574</v>
      </c>
      <c r="D8" s="129">
        <f t="shared" ca="1" si="0"/>
        <v>53768.367254464232</v>
      </c>
      <c r="E8" s="345">
        <f>SummaryCombined[[#This Row],[Flooding Count]]</f>
        <v>90</v>
      </c>
      <c r="F8" s="746"/>
      <c r="G8" s="747"/>
      <c r="H8" s="748"/>
      <c r="I8" s="11"/>
      <c r="J8" s="11"/>
      <c r="K8" s="27">
        <v>3</v>
      </c>
      <c r="L8" s="120">
        <f t="shared" ref="L8:L30" ca="1" si="31">$D$16*(1+$P$34)^K8</f>
        <v>474847.65054547589</v>
      </c>
      <c r="M8" s="1">
        <f t="shared" ca="1" si="1"/>
        <v>422137.8322583671</v>
      </c>
      <c r="N8" s="30">
        <f t="shared" ca="1" si="1"/>
        <v>387617.12898688117</v>
      </c>
      <c r="O8" s="2">
        <f t="shared" ca="1" si="1"/>
        <v>356760.06802815606</v>
      </c>
      <c r="P8" s="27">
        <v>28</v>
      </c>
      <c r="Q8" s="120">
        <f t="shared" ca="1" si="2"/>
        <v>474847.65054547589</v>
      </c>
      <c r="R8" s="1">
        <f t="shared" ca="1" si="3"/>
        <v>158350.99374717881</v>
      </c>
      <c r="S8" s="30">
        <f t="shared" ca="1" si="3"/>
        <v>71418.137209364708</v>
      </c>
      <c r="T8" s="2">
        <f t="shared" ca="1" si="3"/>
        <v>32927.526588375942</v>
      </c>
      <c r="U8" s="9"/>
      <c r="V8" s="8"/>
      <c r="W8" s="132">
        <f>Properties!$N$10</f>
        <v>5.0000000000000001E-3</v>
      </c>
      <c r="X8" s="128">
        <f ca="1">Properties!$CC8</f>
        <v>7329963.9632234629</v>
      </c>
      <c r="Y8" s="129">
        <f t="shared" ca="1" si="30"/>
        <v>31114.796557468853</v>
      </c>
      <c r="Z8" s="345">
        <f>SummaryStructural[[#This Row],[Over Floor Flooding]]</f>
        <v>64</v>
      </c>
      <c r="AA8" s="746"/>
      <c r="AB8" s="747"/>
      <c r="AC8" s="748"/>
      <c r="AD8" s="11"/>
      <c r="AE8" s="11"/>
      <c r="AF8" s="27">
        <f t="shared" si="4"/>
        <v>3</v>
      </c>
      <c r="AG8" s="120">
        <f t="shared" ca="1" si="5"/>
        <v>260441.20659137049</v>
      </c>
      <c r="AH8" s="1">
        <f t="shared" ca="1" si="6"/>
        <v>231531.28430758783</v>
      </c>
      <c r="AI8" s="30">
        <f t="shared" ca="1" si="6"/>
        <v>212597.60399542749</v>
      </c>
      <c r="AJ8" s="2">
        <f t="shared" ca="1" si="6"/>
        <v>195673.33327676213</v>
      </c>
      <c r="AK8" s="27">
        <f t="shared" si="7"/>
        <v>28</v>
      </c>
      <c r="AL8" s="120">
        <f t="shared" ca="1" si="8"/>
        <v>260441.20659137049</v>
      </c>
      <c r="AM8" s="1">
        <f t="shared" ca="1" si="9"/>
        <v>86851.274991215687</v>
      </c>
      <c r="AN8" s="30">
        <f t="shared" ca="1" si="9"/>
        <v>39170.933679356312</v>
      </c>
      <c r="AO8" s="2">
        <f t="shared" ca="1" si="9"/>
        <v>18059.865611412086</v>
      </c>
      <c r="AP8" s="9"/>
      <c r="AQ8" s="8"/>
      <c r="AR8" s="132">
        <f>Properties!$N$10</f>
        <v>5.0000000000000001E-3</v>
      </c>
      <c r="AS8" s="128">
        <f ca="1">Properties!$CI8</f>
        <v>4062929.7751924763</v>
      </c>
      <c r="AT8" s="129">
        <f t="shared" ca="1" si="10"/>
        <v>17800.218670946178</v>
      </c>
      <c r="AU8" s="345">
        <f>SummaryInternal[[#This Row],[Over Floor Flooding]]</f>
        <v>64</v>
      </c>
      <c r="AV8" s="746"/>
      <c r="AW8" s="747"/>
      <c r="AX8" s="748"/>
      <c r="AY8" s="11"/>
      <c r="AZ8" s="11"/>
      <c r="BA8" s="27">
        <f t="shared" si="11"/>
        <v>3</v>
      </c>
      <c r="BB8" s="120">
        <f t="shared" ca="1" si="12"/>
        <v>150379.15596327081</v>
      </c>
      <c r="BC8" s="1">
        <f t="shared" ca="1" si="13"/>
        <v>133686.52207135333</v>
      </c>
      <c r="BD8" s="30">
        <f t="shared" ca="1" si="13"/>
        <v>122754.18574145625</v>
      </c>
      <c r="BE8" s="2">
        <f t="shared" ca="1" si="13"/>
        <v>112982.08562229208</v>
      </c>
      <c r="BF8" s="27">
        <f t="shared" si="14"/>
        <v>28</v>
      </c>
      <c r="BG8" s="120">
        <f t="shared" ca="1" si="15"/>
        <v>150379.15596327081</v>
      </c>
      <c r="BH8" s="1">
        <f t="shared" ca="1" si="16"/>
        <v>50148.060663860007</v>
      </c>
      <c r="BI8" s="30">
        <f t="shared" ca="1" si="16"/>
        <v>22617.357760275547</v>
      </c>
      <c r="BJ8" s="2">
        <f t="shared" ca="1" si="16"/>
        <v>10427.794368635967</v>
      </c>
      <c r="BK8" s="9"/>
      <c r="BL8" s="8"/>
      <c r="BM8" s="132">
        <f>Properties!$N$10</f>
        <v>5.0000000000000001E-3</v>
      </c>
      <c r="BN8" s="128">
        <f>Properties!$CO8</f>
        <v>1055816.9319826337</v>
      </c>
      <c r="BO8" s="129">
        <f t="shared" si="17"/>
        <v>4853.3520260492041</v>
      </c>
      <c r="BP8" s="345">
        <f>SummaryExternal[[#This Row],[Over Ground Flooding]]</f>
        <v>90</v>
      </c>
      <c r="BQ8" s="746"/>
      <c r="BR8" s="747"/>
      <c r="BS8" s="748"/>
      <c r="BT8" s="11"/>
      <c r="BU8" s="11"/>
      <c r="BV8" s="27">
        <f t="shared" si="18"/>
        <v>3</v>
      </c>
      <c r="BW8" s="120">
        <f t="shared" si="19"/>
        <v>51278.303697539799</v>
      </c>
      <c r="BX8" s="1">
        <f t="shared" si="20"/>
        <v>45586.22526593419</v>
      </c>
      <c r="BY8" s="30">
        <f t="shared" si="20"/>
        <v>41858.370438866063</v>
      </c>
      <c r="BZ8" s="2">
        <f t="shared" si="20"/>
        <v>38526.14853308774</v>
      </c>
      <c r="CA8" s="27">
        <f t="shared" si="21"/>
        <v>28</v>
      </c>
      <c r="CB8" s="120">
        <f t="shared" si="22"/>
        <v>51278.303697539799</v>
      </c>
      <c r="CC8" s="1">
        <f t="shared" si="23"/>
        <v>17100.15904858608</v>
      </c>
      <c r="CD8" s="30">
        <f t="shared" si="23"/>
        <v>7712.370325782299</v>
      </c>
      <c r="CE8" s="2">
        <f t="shared" si="23"/>
        <v>3555.8093347791655</v>
      </c>
      <c r="CF8" s="9"/>
      <c r="CG8" s="8"/>
      <c r="CH8" s="132">
        <f>Properties!$N$10</f>
        <v>5.0000000000000001E-3</v>
      </c>
      <c r="CI8" s="128">
        <f>Properties!$CU8</f>
        <v>0</v>
      </c>
      <c r="CJ8" s="129" cm="1">
        <f t="array" ref="CJ8">IFERROR(((CI8+CI9)/2*(CH9-CH8)),CI8/2)+(_xlfn.IFNA((CL8-CL9)*AWE*VLOOKUP(CH8,SocialWTP,2,TRUE),0))</f>
        <v>0</v>
      </c>
      <c r="CK8" s="345">
        <f>SummaryRiskToLife[[#This Row],[Over Ground Flooding]]</f>
        <v>90</v>
      </c>
      <c r="CL8" s="345">
        <f>Properties!$CX$26</f>
        <v>50</v>
      </c>
      <c r="CM8" s="767"/>
      <c r="CN8" s="768"/>
      <c r="CO8" s="11"/>
      <c r="CP8" s="11"/>
      <c r="CQ8" s="27">
        <f t="shared" si="24"/>
        <v>3</v>
      </c>
      <c r="CR8" s="120">
        <f t="shared" si="25"/>
        <v>12748.984293294741</v>
      </c>
      <c r="CS8" s="1">
        <f t="shared" si="26"/>
        <v>11333.80061349171</v>
      </c>
      <c r="CT8" s="30">
        <f t="shared" si="26"/>
        <v>10406.968811131315</v>
      </c>
      <c r="CU8" s="2">
        <f t="shared" si="26"/>
        <v>9578.500596014077</v>
      </c>
      <c r="CV8" s="27">
        <f t="shared" si="27"/>
        <v>28</v>
      </c>
      <c r="CW8" s="120">
        <f t="shared" si="28"/>
        <v>12748.984293294741</v>
      </c>
      <c r="CX8" s="1">
        <f t="shared" si="29"/>
        <v>4251.499043517023</v>
      </c>
      <c r="CY8" s="30">
        <f t="shared" si="29"/>
        <v>1917.4754439505446</v>
      </c>
      <c r="CZ8" s="2">
        <f t="shared" si="29"/>
        <v>884.05727354872238</v>
      </c>
      <c r="DA8" s="9"/>
    </row>
    <row r="9" spans="1:105" x14ac:dyDescent="0.3">
      <c r="A9" s="8"/>
      <c r="B9" s="337">
        <f>Properties!$O$10</f>
        <v>0.01</v>
      </c>
      <c r="C9" s="128">
        <f ca="1">Properties!$DA9</f>
        <v>9058636.2313871197</v>
      </c>
      <c r="D9" s="129">
        <f t="shared" ca="1" si="0"/>
        <v>74289.522099963724</v>
      </c>
      <c r="E9" s="345">
        <f>SummaryCombined[[#This Row],[Flooding Count]]</f>
        <v>76</v>
      </c>
      <c r="F9" s="746"/>
      <c r="G9" s="747"/>
      <c r="H9" s="748"/>
      <c r="I9" s="11"/>
      <c r="J9" s="11"/>
      <c r="K9" s="27">
        <v>4</v>
      </c>
      <c r="L9" s="120">
        <f t="shared" ca="1" si="31"/>
        <v>474847.65054547589</v>
      </c>
      <c r="M9" s="1">
        <f t="shared" ca="1" si="1"/>
        <v>405901.76178689138</v>
      </c>
      <c r="N9" s="30">
        <f t="shared" ca="1" si="1"/>
        <v>362258.99905315996</v>
      </c>
      <c r="O9" s="2">
        <f t="shared" ca="1" si="1"/>
        <v>324327.334571051</v>
      </c>
      <c r="P9" s="27">
        <v>29</v>
      </c>
      <c r="Q9" s="120">
        <f t="shared" ca="1" si="2"/>
        <v>474847.65054547589</v>
      </c>
      <c r="R9" s="1">
        <f t="shared" ca="1" si="3"/>
        <v>152260.57091074885</v>
      </c>
      <c r="S9" s="30">
        <f t="shared" ca="1" si="3"/>
        <v>66745.922625574502</v>
      </c>
      <c r="T9" s="2">
        <f t="shared" ca="1" si="3"/>
        <v>29934.115080341766</v>
      </c>
      <c r="U9" s="9"/>
      <c r="V9" s="8"/>
      <c r="W9" s="337">
        <f>Properties!$O$10</f>
        <v>0.01</v>
      </c>
      <c r="X9" s="128">
        <f ca="1">Properties!$CC9</f>
        <v>5115954.6597640775</v>
      </c>
      <c r="Y9" s="129">
        <f t="shared" ca="1" si="30"/>
        <v>41398.774125545591</v>
      </c>
      <c r="Z9" s="345">
        <f>SummaryStructural[[#This Row],[Over Floor Flooding]]</f>
        <v>49</v>
      </c>
      <c r="AA9" s="746"/>
      <c r="AB9" s="747"/>
      <c r="AC9" s="748"/>
      <c r="AD9" s="11"/>
      <c r="AE9" s="11"/>
      <c r="AF9" s="27">
        <f t="shared" si="4"/>
        <v>4</v>
      </c>
      <c r="AG9" s="120">
        <f t="shared" ca="1" si="5"/>
        <v>260441.20659137049</v>
      </c>
      <c r="AH9" s="1">
        <f t="shared" ca="1" si="6"/>
        <v>222626.23491114212</v>
      </c>
      <c r="AI9" s="30">
        <f t="shared" ca="1" si="6"/>
        <v>198689.3495284369</v>
      </c>
      <c r="AJ9" s="2">
        <f t="shared" ca="1" si="6"/>
        <v>177884.84843342012</v>
      </c>
      <c r="AK9" s="27">
        <f t="shared" si="7"/>
        <v>29</v>
      </c>
      <c r="AL9" s="120">
        <f t="shared" ca="1" si="8"/>
        <v>260441.20659137049</v>
      </c>
      <c r="AM9" s="1">
        <f t="shared" ca="1" si="9"/>
        <v>83510.841337707388</v>
      </c>
      <c r="AN9" s="30">
        <f t="shared" ca="1" si="9"/>
        <v>36608.349233043285</v>
      </c>
      <c r="AO9" s="2">
        <f t="shared" ca="1" si="9"/>
        <v>16418.05964673826</v>
      </c>
      <c r="AP9" s="9"/>
      <c r="AQ9" s="8"/>
      <c r="AR9" s="337">
        <f>Properties!$O$10</f>
        <v>0.01</v>
      </c>
      <c r="AS9" s="128">
        <f ca="1">Properties!$CI9</f>
        <v>3057157.6931859944</v>
      </c>
      <c r="AT9" s="129">
        <f t="shared" ca="1" si="10"/>
        <v>24461.582410018695</v>
      </c>
      <c r="AU9" s="345">
        <f>SummaryInternal[[#This Row],[Over Floor Flooding]]</f>
        <v>49</v>
      </c>
      <c r="AV9" s="746"/>
      <c r="AW9" s="747"/>
      <c r="AX9" s="748"/>
      <c r="AY9" s="11"/>
      <c r="AZ9" s="11"/>
      <c r="BA9" s="27">
        <f t="shared" si="11"/>
        <v>4</v>
      </c>
      <c r="BB9" s="120">
        <f t="shared" ca="1" si="12"/>
        <v>150379.15596327081</v>
      </c>
      <c r="BC9" s="1">
        <f t="shared" ca="1" si="13"/>
        <v>128544.73276091665</v>
      </c>
      <c r="BD9" s="30">
        <f t="shared" ca="1" si="13"/>
        <v>114723.53807612736</v>
      </c>
      <c r="BE9" s="2">
        <f t="shared" ca="1" si="13"/>
        <v>102710.98692935644</v>
      </c>
      <c r="BF9" s="27">
        <f t="shared" si="14"/>
        <v>29</v>
      </c>
      <c r="BG9" s="120">
        <f t="shared" ca="1" si="15"/>
        <v>150379.15596327081</v>
      </c>
      <c r="BH9" s="1">
        <f t="shared" ca="1" si="16"/>
        <v>48219.289099865389</v>
      </c>
      <c r="BI9" s="30">
        <f t="shared" ca="1" si="16"/>
        <v>21137.717532967799</v>
      </c>
      <c r="BJ9" s="2">
        <f t="shared" ca="1" si="16"/>
        <v>9479.8130623963334</v>
      </c>
      <c r="BK9" s="9"/>
      <c r="BL9" s="8"/>
      <c r="BM9" s="337">
        <f>Properties!$O$10</f>
        <v>0.01</v>
      </c>
      <c r="BN9" s="128">
        <f>Properties!$CO9</f>
        <v>885523.87843704771</v>
      </c>
      <c r="BO9" s="129">
        <f t="shared" si="17"/>
        <v>7578.0408827785823</v>
      </c>
      <c r="BP9" s="345">
        <f>SummaryExternal[[#This Row],[Over Ground Flooding]]</f>
        <v>76</v>
      </c>
      <c r="BQ9" s="746"/>
      <c r="BR9" s="747"/>
      <c r="BS9" s="748"/>
      <c r="BT9" s="11"/>
      <c r="BU9" s="11"/>
      <c r="BV9" s="27">
        <f t="shared" si="18"/>
        <v>4</v>
      </c>
      <c r="BW9" s="120">
        <f t="shared" si="19"/>
        <v>51278.303697539799</v>
      </c>
      <c r="BX9" s="1">
        <f t="shared" si="20"/>
        <v>43832.908909552098</v>
      </c>
      <c r="BY9" s="30">
        <f t="shared" si="20"/>
        <v>39119.972372772019</v>
      </c>
      <c r="BZ9" s="2">
        <f t="shared" si="20"/>
        <v>35023.771393716132</v>
      </c>
      <c r="CA9" s="27">
        <f t="shared" si="21"/>
        <v>29</v>
      </c>
      <c r="CB9" s="120">
        <f t="shared" si="22"/>
        <v>51278.303697539799</v>
      </c>
      <c r="CC9" s="1">
        <f t="shared" si="23"/>
        <v>16442.460623640462</v>
      </c>
      <c r="CD9" s="30">
        <f t="shared" si="23"/>
        <v>7207.82273437598</v>
      </c>
      <c r="CE9" s="2">
        <f t="shared" si="23"/>
        <v>3232.553940708332</v>
      </c>
      <c r="CF9" s="9"/>
      <c r="CG9" s="8"/>
      <c r="CH9" s="337">
        <f>Properties!$O$10</f>
        <v>0.01</v>
      </c>
      <c r="CI9" s="128">
        <f>Properties!$CU9</f>
        <v>0</v>
      </c>
      <c r="CJ9" s="129" cm="1">
        <f t="array" ref="CJ9">IFERROR(((CI9+CI10)/2*(CH10-CH9)),CI9/2)+(_xlfn.IFNA((CL9-CL10)*AWE*VLOOKUP(CH9,SocialWTP,2,TRUE),0))</f>
        <v>851.12468162083917</v>
      </c>
      <c r="CK9" s="345">
        <f>SummaryRiskToLife[[#This Row],[Over Ground Flooding]]</f>
        <v>76</v>
      </c>
      <c r="CL9" s="345">
        <f>Properties!$CX$29</f>
        <v>40</v>
      </c>
      <c r="CM9" s="767"/>
      <c r="CN9" s="768"/>
      <c r="CO9" s="11"/>
      <c r="CP9" s="11"/>
      <c r="CQ9" s="27">
        <f t="shared" si="24"/>
        <v>4</v>
      </c>
      <c r="CR9" s="120">
        <f t="shared" si="25"/>
        <v>12748.984293294741</v>
      </c>
      <c r="CS9" s="1">
        <f t="shared" si="26"/>
        <v>10897.88520528049</v>
      </c>
      <c r="CT9" s="30">
        <f t="shared" si="26"/>
        <v>9726.1390758236594</v>
      </c>
      <c r="CU9" s="2">
        <f t="shared" si="26"/>
        <v>8707.7278145582532</v>
      </c>
      <c r="CV9" s="27">
        <f t="shared" si="27"/>
        <v>29</v>
      </c>
      <c r="CW9" s="120">
        <f t="shared" si="28"/>
        <v>12748.984293294741</v>
      </c>
      <c r="CX9" s="1">
        <f t="shared" si="29"/>
        <v>4087.979849535599</v>
      </c>
      <c r="CY9" s="30">
        <f t="shared" si="29"/>
        <v>1792.0331251874247</v>
      </c>
      <c r="CZ9" s="2">
        <f t="shared" si="29"/>
        <v>803.68843049883844</v>
      </c>
      <c r="DA9" s="9"/>
    </row>
    <row r="10" spans="1:105" x14ac:dyDescent="0.3">
      <c r="A10" s="8"/>
      <c r="B10" s="337">
        <f>Properties!$P$10</f>
        <v>0.02</v>
      </c>
      <c r="C10" s="128">
        <f ca="1">Properties!$DA10</f>
        <v>5629043.2522814553</v>
      </c>
      <c r="D10" s="129">
        <f ca="1">SUM(Y10,AT10,BO10,CJ10)</f>
        <v>130167.54933496032</v>
      </c>
      <c r="E10" s="345">
        <f>SummaryCombined[[#This Row],[Flooding Count]]</f>
        <v>54</v>
      </c>
      <c r="F10" s="746"/>
      <c r="G10" s="747"/>
      <c r="H10" s="748"/>
      <c r="I10" s="11"/>
      <c r="J10" s="11"/>
      <c r="K10" s="27">
        <v>5</v>
      </c>
      <c r="L10" s="120">
        <f t="shared" ca="1" si="31"/>
        <v>474847.65054547589</v>
      </c>
      <c r="M10" s="1">
        <f t="shared" ca="1" si="1"/>
        <v>390290.15556431864</v>
      </c>
      <c r="N10" s="30">
        <f t="shared" ca="1" si="1"/>
        <v>338559.81219921488</v>
      </c>
      <c r="O10" s="2">
        <f t="shared" ca="1" si="1"/>
        <v>294843.03142822813</v>
      </c>
      <c r="P10" s="27">
        <v>30</v>
      </c>
      <c r="Q10" s="120">
        <f t="shared" ca="1" si="2"/>
        <v>474847.65054547589</v>
      </c>
      <c r="R10" s="1">
        <f t="shared" ca="1" si="3"/>
        <v>146404.3951064893</v>
      </c>
      <c r="S10" s="30">
        <f t="shared" ca="1" si="3"/>
        <v>62379.366939789252</v>
      </c>
      <c r="T10" s="2">
        <f t="shared" ca="1" si="3"/>
        <v>27212.831891219783</v>
      </c>
      <c r="U10" s="9"/>
      <c r="V10" s="8"/>
      <c r="W10" s="337">
        <f>Properties!$P$10</f>
        <v>0.02</v>
      </c>
      <c r="X10" s="128">
        <f ca="1">Properties!$CC10</f>
        <v>3163800.1653450415</v>
      </c>
      <c r="Y10" s="129">
        <f t="shared" ca="1" si="30"/>
        <v>70391.402811943844</v>
      </c>
      <c r="Z10" s="345">
        <f>SummaryStructural[[#This Row],[Over Floor Flooding]]</f>
        <v>27</v>
      </c>
      <c r="AA10" s="746"/>
      <c r="AB10" s="747"/>
      <c r="AC10" s="748"/>
      <c r="AD10" s="11"/>
      <c r="AE10" s="11"/>
      <c r="AF10" s="27">
        <f t="shared" si="4"/>
        <v>5</v>
      </c>
      <c r="AG10" s="120">
        <f t="shared" ca="1" si="5"/>
        <v>260441.20659137049</v>
      </c>
      <c r="AH10" s="1">
        <f t="shared" ca="1" si="6"/>
        <v>214063.68741455971</v>
      </c>
      <c r="AI10" s="30">
        <f t="shared" ca="1" si="6"/>
        <v>185690.98086769803</v>
      </c>
      <c r="AJ10" s="2">
        <f t="shared" ca="1" si="6"/>
        <v>161713.49857583648</v>
      </c>
      <c r="AK10" s="27">
        <f t="shared" si="7"/>
        <v>30</v>
      </c>
      <c r="AL10" s="120">
        <f t="shared" ca="1" si="8"/>
        <v>260441.20659137049</v>
      </c>
      <c r="AM10" s="1">
        <f t="shared" ca="1" si="9"/>
        <v>80298.885901641726</v>
      </c>
      <c r="AN10" s="30">
        <f t="shared" ca="1" si="9"/>
        <v>34213.410498171295</v>
      </c>
      <c r="AO10" s="2">
        <f t="shared" ca="1" si="9"/>
        <v>14925.508769762053</v>
      </c>
      <c r="AP10" s="9"/>
      <c r="AQ10" s="8"/>
      <c r="AR10" s="337">
        <f>Properties!$P$10</f>
        <v>0.02</v>
      </c>
      <c r="AS10" s="128">
        <f ca="1">Properties!$CI10</f>
        <v>1835158.7888177452</v>
      </c>
      <c r="AT10" s="129">
        <f t="shared" ca="1" si="10"/>
        <v>41734.454125524899</v>
      </c>
      <c r="AU10" s="345">
        <f>SummaryInternal[[#This Row],[Over Floor Flooding]]</f>
        <v>27</v>
      </c>
      <c r="AV10" s="746"/>
      <c r="AW10" s="747"/>
      <c r="AX10" s="748"/>
      <c r="AY10" s="11"/>
      <c r="AZ10" s="11"/>
      <c r="BA10" s="27">
        <f t="shared" si="11"/>
        <v>5</v>
      </c>
      <c r="BB10" s="120">
        <f t="shared" ca="1" si="12"/>
        <v>150379.15596327081</v>
      </c>
      <c r="BC10" s="1">
        <f t="shared" ca="1" si="13"/>
        <v>123600.70457780446</v>
      </c>
      <c r="BD10" s="30">
        <f t="shared" ca="1" si="13"/>
        <v>107218.25988423116</v>
      </c>
      <c r="BE10" s="2">
        <f t="shared" ca="1" si="13"/>
        <v>93373.624481233128</v>
      </c>
      <c r="BF10" s="27">
        <f t="shared" si="14"/>
        <v>30</v>
      </c>
      <c r="BG10" s="120">
        <f t="shared" ca="1" si="15"/>
        <v>150379.15596327081</v>
      </c>
      <c r="BH10" s="1">
        <f t="shared" ca="1" si="16"/>
        <v>46364.701057562881</v>
      </c>
      <c r="BI10" s="30">
        <f t="shared" ca="1" si="16"/>
        <v>19754.876199035331</v>
      </c>
      <c r="BJ10" s="2">
        <f t="shared" ca="1" si="16"/>
        <v>8618.0118749057547</v>
      </c>
      <c r="BK10" s="9"/>
      <c r="BL10" s="8"/>
      <c r="BM10" s="337">
        <f>Properties!$P$10</f>
        <v>0.02</v>
      </c>
      <c r="BN10" s="128">
        <f>Properties!$CO10</f>
        <v>630084.29811866861</v>
      </c>
      <c r="BO10" s="129">
        <f t="shared" si="17"/>
        <v>14815.495658465992</v>
      </c>
      <c r="BP10" s="345">
        <f>SummaryExternal[[#This Row],[Over Ground Flooding]]</f>
        <v>54</v>
      </c>
      <c r="BQ10" s="746"/>
      <c r="BR10" s="747"/>
      <c r="BS10" s="748"/>
      <c r="BT10" s="11"/>
      <c r="BU10" s="11"/>
      <c r="BV10" s="27">
        <f t="shared" si="18"/>
        <v>5</v>
      </c>
      <c r="BW10" s="120">
        <f t="shared" si="19"/>
        <v>51278.303697539799</v>
      </c>
      <c r="BX10" s="1">
        <f t="shared" si="20"/>
        <v>42147.027797646246</v>
      </c>
      <c r="BY10" s="30">
        <f t="shared" si="20"/>
        <v>36560.721843712163</v>
      </c>
      <c r="BZ10" s="2">
        <f t="shared" si="20"/>
        <v>31839.79217610557</v>
      </c>
      <c r="CA10" s="27">
        <f t="shared" si="21"/>
        <v>30</v>
      </c>
      <c r="CB10" s="120">
        <f t="shared" si="22"/>
        <v>51278.303697539799</v>
      </c>
      <c r="CC10" s="1">
        <f t="shared" si="23"/>
        <v>15810.058291961985</v>
      </c>
      <c r="CD10" s="30">
        <f t="shared" si="23"/>
        <v>6736.2829293233463</v>
      </c>
      <c r="CE10" s="2">
        <f t="shared" si="23"/>
        <v>2938.685400643938</v>
      </c>
      <c r="CF10" s="9"/>
      <c r="CG10" s="8"/>
      <c r="CH10" s="337">
        <f>Properties!$P$10</f>
        <v>0.02</v>
      </c>
      <c r="CI10" s="128">
        <f>Properties!$CU10</f>
        <v>0</v>
      </c>
      <c r="CJ10" s="129" cm="1">
        <f t="array" ref="CJ10">IFERROR(((CI10+CI11)/2*(CH11-CH10)),CI10/2)+(_xlfn.IFNA((CL10-CL11)*AWE*VLOOKUP(CH10,SocialWTP,2,TRUE),0))</f>
        <v>3226.1967390255668</v>
      </c>
      <c r="CK10" s="345">
        <f>SummaryRiskToLife[[#This Row],[Over Ground Flooding]]</f>
        <v>54</v>
      </c>
      <c r="CL10" s="345">
        <f>Properties!$CX$32</f>
        <v>23</v>
      </c>
      <c r="CM10" s="767"/>
      <c r="CN10" s="768"/>
      <c r="CO10" s="11"/>
      <c r="CP10" s="11"/>
      <c r="CQ10" s="27">
        <f t="shared" si="24"/>
        <v>5</v>
      </c>
      <c r="CR10" s="120">
        <f t="shared" si="25"/>
        <v>12748.984293294741</v>
      </c>
      <c r="CS10" s="1">
        <f t="shared" si="26"/>
        <v>10478.735774308163</v>
      </c>
      <c r="CT10" s="30">
        <f t="shared" si="26"/>
        <v>9089.8496035735134</v>
      </c>
      <c r="CU10" s="2">
        <f t="shared" si="26"/>
        <v>7916.1161950529568</v>
      </c>
      <c r="CV10" s="27">
        <f t="shared" si="27"/>
        <v>30</v>
      </c>
      <c r="CW10" s="120">
        <f t="shared" si="28"/>
        <v>12748.984293294741</v>
      </c>
      <c r="CX10" s="1">
        <f t="shared" si="29"/>
        <v>3930.7498553226919</v>
      </c>
      <c r="CY10" s="30">
        <f t="shared" si="29"/>
        <v>1674.7973132592756</v>
      </c>
      <c r="CZ10" s="2">
        <f t="shared" si="29"/>
        <v>730.62584590803488</v>
      </c>
      <c r="DA10" s="9"/>
    </row>
    <row r="11" spans="1:105" x14ac:dyDescent="0.3">
      <c r="A11" s="8"/>
      <c r="B11" s="337">
        <f>Properties!$Q$10</f>
        <v>0.05</v>
      </c>
      <c r="C11" s="128">
        <f ca="1">Properties!$DA11</f>
        <v>2833713.5874475264</v>
      </c>
      <c r="D11" s="129">
        <f t="shared" ca="1" si="0"/>
        <v>94249.086626361561</v>
      </c>
      <c r="E11" s="345">
        <f>SummaryCombined[[#This Row],[Flooding Count]]</f>
        <v>31</v>
      </c>
      <c r="F11" s="746"/>
      <c r="G11" s="747"/>
      <c r="H11" s="748"/>
      <c r="I11" s="11"/>
      <c r="J11" s="11"/>
      <c r="K11" s="27">
        <v>6</v>
      </c>
      <c r="L11" s="120">
        <f t="shared" ca="1" si="31"/>
        <v>474847.65054547589</v>
      </c>
      <c r="M11" s="1">
        <f t="shared" ca="1" si="1"/>
        <v>375278.99573492171</v>
      </c>
      <c r="N11" s="30">
        <f t="shared" ca="1" si="1"/>
        <v>316411.03943851864</v>
      </c>
      <c r="O11" s="2">
        <f t="shared" ca="1" si="1"/>
        <v>268039.11948020739</v>
      </c>
      <c r="P11" s="27">
        <v>31</v>
      </c>
      <c r="Q11" s="120">
        <f t="shared" ca="1" si="2"/>
        <v>474847.65054547589</v>
      </c>
      <c r="R11" s="1">
        <f t="shared" si="3"/>
        <v>0</v>
      </c>
      <c r="S11" s="30">
        <f t="shared" si="3"/>
        <v>0</v>
      </c>
      <c r="T11" s="2">
        <f t="shared" si="3"/>
        <v>0</v>
      </c>
      <c r="U11" s="9"/>
      <c r="V11" s="8"/>
      <c r="W11" s="337">
        <f>Properties!$Q$10</f>
        <v>0.05</v>
      </c>
      <c r="X11" s="128">
        <f ca="1">Properties!$CC11</f>
        <v>1528960.0221178806</v>
      </c>
      <c r="Y11" s="129">
        <f t="shared" ca="1" si="30"/>
        <v>47366.63251698867</v>
      </c>
      <c r="Z11" s="345">
        <f>SummaryStructural[[#This Row],[Over Floor Flooding]]</f>
        <v>19</v>
      </c>
      <c r="AA11" s="746"/>
      <c r="AB11" s="747"/>
      <c r="AC11" s="748"/>
      <c r="AD11" s="11"/>
      <c r="AE11" s="11"/>
      <c r="AF11" s="27">
        <f t="shared" si="4"/>
        <v>6</v>
      </c>
      <c r="AG11" s="120">
        <f t="shared" ca="1" si="5"/>
        <v>260441.20659137049</v>
      </c>
      <c r="AH11" s="1">
        <f t="shared" ca="1" si="6"/>
        <v>205830.46866784585</v>
      </c>
      <c r="AI11" s="30">
        <f t="shared" ca="1" si="6"/>
        <v>173542.97277354958</v>
      </c>
      <c r="AJ11" s="2">
        <f t="shared" ca="1" si="6"/>
        <v>147012.27143257859</v>
      </c>
      <c r="AK11" s="27">
        <f t="shared" si="7"/>
        <v>31</v>
      </c>
      <c r="AL11" s="120">
        <f t="shared" ca="1" si="8"/>
        <v>260441.20659137049</v>
      </c>
      <c r="AM11" s="1">
        <f t="shared" si="9"/>
        <v>0</v>
      </c>
      <c r="AN11" s="30">
        <f t="shared" si="9"/>
        <v>0</v>
      </c>
      <c r="AO11" s="2">
        <f t="shared" si="9"/>
        <v>0</v>
      </c>
      <c r="AP11" s="9"/>
      <c r="AQ11" s="8"/>
      <c r="AR11" s="337">
        <f>Properties!$Q$10</f>
        <v>0.05</v>
      </c>
      <c r="AS11" s="128">
        <f ca="1">Properties!$CI11</f>
        <v>947138.15288391476</v>
      </c>
      <c r="AT11" s="129">
        <f t="shared" ca="1" si="10"/>
        <v>28659.848564269181</v>
      </c>
      <c r="AU11" s="345">
        <f>SummaryInternal[[#This Row],[Over Floor Flooding]]</f>
        <v>19</v>
      </c>
      <c r="AV11" s="746"/>
      <c r="AW11" s="747"/>
      <c r="AX11" s="748"/>
      <c r="AY11" s="11"/>
      <c r="AZ11" s="11"/>
      <c r="BA11" s="27">
        <f t="shared" si="11"/>
        <v>6</v>
      </c>
      <c r="BB11" s="120">
        <f t="shared" ca="1" si="12"/>
        <v>150379.15596327081</v>
      </c>
      <c r="BC11" s="1">
        <f t="shared" ca="1" si="13"/>
        <v>118846.83132481198</v>
      </c>
      <c r="BD11" s="30">
        <f t="shared" ca="1" si="13"/>
        <v>100203.98120021605</v>
      </c>
      <c r="BE11" s="2">
        <f t="shared" ca="1" si="13"/>
        <v>84885.113164757378</v>
      </c>
      <c r="BF11" s="27">
        <f t="shared" si="14"/>
        <v>31</v>
      </c>
      <c r="BG11" s="120">
        <f t="shared" ca="1" si="15"/>
        <v>150379.15596327081</v>
      </c>
      <c r="BH11" s="1">
        <f t="shared" si="16"/>
        <v>0</v>
      </c>
      <c r="BI11" s="30">
        <f t="shared" si="16"/>
        <v>0</v>
      </c>
      <c r="BJ11" s="2">
        <f t="shared" si="16"/>
        <v>0</v>
      </c>
      <c r="BK11" s="9"/>
      <c r="BL11" s="8"/>
      <c r="BM11" s="337">
        <f>Properties!$Q$10</f>
        <v>0.05</v>
      </c>
      <c r="BN11" s="128">
        <f>Properties!$CO11</f>
        <v>357615.41244573082</v>
      </c>
      <c r="BO11" s="129">
        <f t="shared" si="17"/>
        <v>11920.513748191028</v>
      </c>
      <c r="BP11" s="345">
        <f>SummaryExternal[[#This Row],[Over Ground Flooding]]</f>
        <v>31</v>
      </c>
      <c r="BQ11" s="746"/>
      <c r="BR11" s="747"/>
      <c r="BS11" s="748"/>
      <c r="BT11" s="11"/>
      <c r="BU11" s="11"/>
      <c r="BV11" s="27">
        <f t="shared" si="18"/>
        <v>6</v>
      </c>
      <c r="BW11" s="120">
        <f t="shared" si="19"/>
        <v>51278.303697539799</v>
      </c>
      <c r="BX11" s="1">
        <f t="shared" si="20"/>
        <v>40525.988266967543</v>
      </c>
      <c r="BY11" s="30">
        <f t="shared" si="20"/>
        <v>34168.898919357169</v>
      </c>
      <c r="BZ11" s="2">
        <f t="shared" si="20"/>
        <v>28945.265614641423</v>
      </c>
      <c r="CA11" s="27">
        <f t="shared" si="21"/>
        <v>31</v>
      </c>
      <c r="CB11" s="120">
        <f t="shared" si="22"/>
        <v>51278.303697539799</v>
      </c>
      <c r="CC11" s="1">
        <f t="shared" si="23"/>
        <v>0</v>
      </c>
      <c r="CD11" s="30">
        <f t="shared" si="23"/>
        <v>0</v>
      </c>
      <c r="CE11" s="2">
        <f t="shared" si="23"/>
        <v>0</v>
      </c>
      <c r="CF11" s="9"/>
      <c r="CG11" s="8"/>
      <c r="CH11" s="337">
        <f>Properties!$Q$10</f>
        <v>0.05</v>
      </c>
      <c r="CI11" s="128">
        <f>Properties!$CU11</f>
        <v>0</v>
      </c>
      <c r="CJ11" s="129" cm="1">
        <f t="array" ref="CJ11">IFERROR(((CI11+CI12)/2*(CH12-CH11)),CI11/2)+(_xlfn.IFNA((CL11-CL12)*AWE*VLOOKUP(CH11,SocialWTP,2,TRUE),0))</f>
        <v>6302.0917969126867</v>
      </c>
      <c r="CK11" s="345">
        <f>SummaryRiskToLife[[#This Row],[Over Ground Flooding]]</f>
        <v>31</v>
      </c>
      <c r="CL11" s="345">
        <f>Properties!$CX$35</f>
        <v>15</v>
      </c>
      <c r="CM11" s="767"/>
      <c r="CN11" s="768"/>
      <c r="CO11" s="11"/>
      <c r="CP11" s="11"/>
      <c r="CQ11" s="27">
        <f t="shared" si="24"/>
        <v>6</v>
      </c>
      <c r="CR11" s="120">
        <f t="shared" si="25"/>
        <v>12748.984293294741</v>
      </c>
      <c r="CS11" s="1">
        <f t="shared" si="26"/>
        <v>10075.707475296311</v>
      </c>
      <c r="CT11" s="30">
        <f t="shared" si="26"/>
        <v>8495.1865453958071</v>
      </c>
      <c r="CU11" s="2">
        <f t="shared" si="26"/>
        <v>7196.4692682299592</v>
      </c>
      <c r="CV11" s="27">
        <f t="shared" si="27"/>
        <v>31</v>
      </c>
      <c r="CW11" s="120">
        <f t="shared" si="28"/>
        <v>12748.984293294741</v>
      </c>
      <c r="CX11" s="1">
        <f t="shared" si="29"/>
        <v>0</v>
      </c>
      <c r="CY11" s="30">
        <f t="shared" si="29"/>
        <v>0</v>
      </c>
      <c r="CZ11" s="2">
        <f t="shared" si="29"/>
        <v>0</v>
      </c>
      <c r="DA11" s="9"/>
    </row>
    <row r="12" spans="1:105" x14ac:dyDescent="0.3">
      <c r="A12" s="8"/>
      <c r="B12" s="337">
        <f>Properties!$R$10</f>
        <v>0.1</v>
      </c>
      <c r="C12" s="128">
        <f ca="1">Properties!$DA12</f>
        <v>684166.20573042845</v>
      </c>
      <c r="D12" s="129">
        <f t="shared" ca="1" si="0"/>
        <v>36577.881362257067</v>
      </c>
      <c r="E12" s="345">
        <f>SummaryCombined[[#This Row],[Flooding Count]]</f>
        <v>11</v>
      </c>
      <c r="F12" s="746"/>
      <c r="G12" s="747"/>
      <c r="H12" s="748"/>
      <c r="I12" s="11"/>
      <c r="J12" s="11"/>
      <c r="K12" s="27">
        <v>7</v>
      </c>
      <c r="L12" s="120">
        <f t="shared" ca="1" si="31"/>
        <v>474847.65054547589</v>
      </c>
      <c r="M12" s="1">
        <f t="shared" ca="1" si="1"/>
        <v>360845.18820665556</v>
      </c>
      <c r="N12" s="30">
        <f t="shared" ca="1" si="1"/>
        <v>295711.25181169965</v>
      </c>
      <c r="O12" s="2">
        <f t="shared" ca="1" si="1"/>
        <v>243671.92680018849</v>
      </c>
      <c r="P12" s="27">
        <v>32</v>
      </c>
      <c r="Q12" s="120">
        <f t="shared" ca="1" si="2"/>
        <v>474847.65054547589</v>
      </c>
      <c r="R12" s="1">
        <f t="shared" si="3"/>
        <v>0</v>
      </c>
      <c r="S12" s="30">
        <f t="shared" si="3"/>
        <v>0</v>
      </c>
      <c r="T12" s="2">
        <f t="shared" si="3"/>
        <v>0</v>
      </c>
      <c r="U12" s="9"/>
      <c r="V12" s="8"/>
      <c r="W12" s="337">
        <f>Properties!$R$10</f>
        <v>0.1</v>
      </c>
      <c r="X12" s="128">
        <f ca="1">Properties!$CC12</f>
        <v>365705.27856166585</v>
      </c>
      <c r="Y12" s="129">
        <f t="shared" ca="1" si="30"/>
        <v>18285.263928083292</v>
      </c>
      <c r="Z12" s="345">
        <f>SummaryStructural[[#This Row],[Over Floor Flooding]]</f>
        <v>4</v>
      </c>
      <c r="AA12" s="746"/>
      <c r="AB12" s="747"/>
      <c r="AC12" s="748"/>
      <c r="AD12" s="11"/>
      <c r="AE12" s="11"/>
      <c r="AF12" s="27">
        <f t="shared" si="4"/>
        <v>7</v>
      </c>
      <c r="AG12" s="120">
        <f t="shared" ca="1" si="5"/>
        <v>260441.20659137049</v>
      </c>
      <c r="AH12" s="1">
        <f t="shared" ca="1" si="6"/>
        <v>197913.91218062103</v>
      </c>
      <c r="AI12" s="30">
        <f t="shared" ca="1" si="6"/>
        <v>162189.69418088743</v>
      </c>
      <c r="AJ12" s="2">
        <f t="shared" ca="1" si="6"/>
        <v>133647.51948416233</v>
      </c>
      <c r="AK12" s="27">
        <f t="shared" si="7"/>
        <v>32</v>
      </c>
      <c r="AL12" s="120">
        <f t="shared" ca="1" si="8"/>
        <v>260441.20659137049</v>
      </c>
      <c r="AM12" s="1">
        <f t="shared" si="9"/>
        <v>0</v>
      </c>
      <c r="AN12" s="30">
        <f t="shared" si="9"/>
        <v>0</v>
      </c>
      <c r="AO12" s="2">
        <f t="shared" si="9"/>
        <v>0</v>
      </c>
      <c r="AP12" s="9"/>
      <c r="AQ12" s="8"/>
      <c r="AR12" s="337">
        <f>Properties!$R$10</f>
        <v>0.1</v>
      </c>
      <c r="AS12" s="128">
        <f ca="1">Properties!$CI12</f>
        <v>199255.78968685228</v>
      </c>
      <c r="AT12" s="129">
        <f t="shared" ca="1" si="10"/>
        <v>9962.7894843426147</v>
      </c>
      <c r="AU12" s="345">
        <f>SummaryInternal[[#This Row],[Over Floor Flooding]]</f>
        <v>4</v>
      </c>
      <c r="AV12" s="746"/>
      <c r="AW12" s="747"/>
      <c r="AX12" s="748"/>
      <c r="AY12" s="11"/>
      <c r="AZ12" s="11"/>
      <c r="BA12" s="27">
        <f t="shared" si="11"/>
        <v>7</v>
      </c>
      <c r="BB12" s="120">
        <f t="shared" ca="1" si="12"/>
        <v>150379.15596327081</v>
      </c>
      <c r="BC12" s="1">
        <f t="shared" ca="1" si="13"/>
        <v>114275.79935078077</v>
      </c>
      <c r="BD12" s="30">
        <f t="shared" ca="1" si="13"/>
        <v>93648.580560949573</v>
      </c>
      <c r="BE12" s="2">
        <f t="shared" ca="1" si="13"/>
        <v>77168.284695233961</v>
      </c>
      <c r="BF12" s="27">
        <f t="shared" si="14"/>
        <v>32</v>
      </c>
      <c r="BG12" s="120">
        <f t="shared" ca="1" si="15"/>
        <v>150379.15596327081</v>
      </c>
      <c r="BH12" s="1">
        <f t="shared" si="16"/>
        <v>0</v>
      </c>
      <c r="BI12" s="30">
        <f t="shared" si="16"/>
        <v>0</v>
      </c>
      <c r="BJ12" s="2">
        <f t="shared" si="16"/>
        <v>0</v>
      </c>
      <c r="BK12" s="9"/>
      <c r="BL12" s="8"/>
      <c r="BM12" s="337">
        <f>Properties!$R$10</f>
        <v>0.1</v>
      </c>
      <c r="BN12" s="128">
        <f>Properties!$CO12</f>
        <v>119205.13748191026</v>
      </c>
      <c r="BO12" s="129">
        <f t="shared" si="17"/>
        <v>5960.2568740955139</v>
      </c>
      <c r="BP12" s="345">
        <f>SummaryExternal[[#This Row],[Over Ground Flooding]]</f>
        <v>11</v>
      </c>
      <c r="BQ12" s="746"/>
      <c r="BR12" s="747"/>
      <c r="BS12" s="748"/>
      <c r="BT12" s="11"/>
      <c r="BU12" s="11"/>
      <c r="BV12" s="27">
        <f t="shared" si="18"/>
        <v>7</v>
      </c>
      <c r="BW12" s="120">
        <f t="shared" si="19"/>
        <v>51278.303697539799</v>
      </c>
      <c r="BX12" s="1">
        <f t="shared" si="20"/>
        <v>38967.296410545721</v>
      </c>
      <c r="BY12" s="30">
        <f t="shared" si="20"/>
        <v>31933.550391922585</v>
      </c>
      <c r="BZ12" s="2">
        <f t="shared" si="20"/>
        <v>26313.877831492198</v>
      </c>
      <c r="CA12" s="27">
        <f t="shared" si="21"/>
        <v>32</v>
      </c>
      <c r="CB12" s="120">
        <f t="shared" si="22"/>
        <v>51278.303697539799</v>
      </c>
      <c r="CC12" s="1">
        <f t="shared" si="23"/>
        <v>0</v>
      </c>
      <c r="CD12" s="30">
        <f t="shared" si="23"/>
        <v>0</v>
      </c>
      <c r="CE12" s="2">
        <f t="shared" si="23"/>
        <v>0</v>
      </c>
      <c r="CF12" s="9"/>
      <c r="CG12" s="8"/>
      <c r="CH12" s="337">
        <f>Properties!$R$10</f>
        <v>0.1</v>
      </c>
      <c r="CI12" s="128">
        <f>Properties!$CU12</f>
        <v>0</v>
      </c>
      <c r="CJ12" s="129" cm="1">
        <f t="array" ref="CJ12">IFERROR(((CI12+CI13)/2*(CH13-CH12)),CI12/2)+(_xlfn.IFNA((CL12-CL13)*AWE*VLOOKUP(CH12,SocialWTP,2,TRUE),0))</f>
        <v>2369.5710757356487</v>
      </c>
      <c r="CK12" s="345">
        <f>SummaryRiskToLife[[#This Row],[Over Ground Flooding]]</f>
        <v>11</v>
      </c>
      <c r="CL12" s="345">
        <f>Properties!$CX$38</f>
        <v>4</v>
      </c>
      <c r="CM12" s="767"/>
      <c r="CN12" s="768"/>
      <c r="CO12" s="11"/>
      <c r="CP12" s="11"/>
      <c r="CQ12" s="27">
        <f t="shared" si="24"/>
        <v>7</v>
      </c>
      <c r="CR12" s="120">
        <f t="shared" si="25"/>
        <v>12748.984293294741</v>
      </c>
      <c r="CS12" s="1">
        <f t="shared" si="26"/>
        <v>9688.1802647079912</v>
      </c>
      <c r="CT12" s="30">
        <f t="shared" si="26"/>
        <v>7939.4266779400059</v>
      </c>
      <c r="CU12" s="2">
        <f t="shared" si="26"/>
        <v>6542.2447892999626</v>
      </c>
      <c r="CV12" s="27">
        <f t="shared" si="27"/>
        <v>32</v>
      </c>
      <c r="CW12" s="120">
        <f t="shared" si="28"/>
        <v>12748.984293294741</v>
      </c>
      <c r="CX12" s="1">
        <f t="shared" si="29"/>
        <v>0</v>
      </c>
      <c r="CY12" s="30">
        <f t="shared" si="29"/>
        <v>0</v>
      </c>
      <c r="CZ12" s="2">
        <f t="shared" si="29"/>
        <v>0</v>
      </c>
      <c r="DA12" s="9"/>
    </row>
    <row r="13" spans="1:105" x14ac:dyDescent="0.3">
      <c r="A13" s="8"/>
      <c r="B13" s="337">
        <f>Properties!$S$10</f>
        <v>0.2</v>
      </c>
      <c r="C13" s="128">
        <f ca="1">Properties!$DA13</f>
        <v>0</v>
      </c>
      <c r="D13" s="129">
        <f t="shared" ca="1" si="0"/>
        <v>0</v>
      </c>
      <c r="E13" s="345">
        <f>SummaryCombined[[#This Row],[Flooding Count]]</f>
        <v>0</v>
      </c>
      <c r="F13" s="746"/>
      <c r="G13" s="747"/>
      <c r="H13" s="748"/>
      <c r="I13" s="11"/>
      <c r="J13" s="11"/>
      <c r="K13" s="27">
        <v>8</v>
      </c>
      <c r="L13" s="120">
        <f t="shared" ca="1" si="31"/>
        <v>474847.65054547589</v>
      </c>
      <c r="M13" s="1">
        <f t="shared" ca="1" si="1"/>
        <v>346966.52712178411</v>
      </c>
      <c r="N13" s="30">
        <f t="shared" ca="1" si="1"/>
        <v>276365.65589878469</v>
      </c>
      <c r="O13" s="2">
        <f t="shared" ca="1" si="1"/>
        <v>221519.93345471684</v>
      </c>
      <c r="P13" s="27">
        <v>33</v>
      </c>
      <c r="Q13" s="120">
        <f t="shared" ca="1" si="2"/>
        <v>474847.65054547589</v>
      </c>
      <c r="R13" s="1">
        <f t="shared" si="3"/>
        <v>0</v>
      </c>
      <c r="S13" s="30">
        <f t="shared" si="3"/>
        <v>0</v>
      </c>
      <c r="T13" s="2">
        <f t="shared" si="3"/>
        <v>0</v>
      </c>
      <c r="U13" s="9"/>
      <c r="V13" s="8"/>
      <c r="W13" s="337">
        <f>Properties!$S$10</f>
        <v>0.2</v>
      </c>
      <c r="X13" s="128">
        <f ca="1">Properties!$CC13</f>
        <v>0</v>
      </c>
      <c r="Y13" s="129">
        <f t="shared" ca="1" si="30"/>
        <v>0</v>
      </c>
      <c r="Z13" s="345">
        <f>SummaryStructural[[#This Row],[Over Floor Flooding]]</f>
        <v>0</v>
      </c>
      <c r="AA13" s="746"/>
      <c r="AB13" s="747"/>
      <c r="AC13" s="748"/>
      <c r="AD13" s="11"/>
      <c r="AE13" s="11"/>
      <c r="AF13" s="27">
        <f t="shared" si="4"/>
        <v>8</v>
      </c>
      <c r="AG13" s="120">
        <f t="shared" ca="1" si="5"/>
        <v>260441.20659137049</v>
      </c>
      <c r="AH13" s="1">
        <f t="shared" ca="1" si="6"/>
        <v>190301.83863521251</v>
      </c>
      <c r="AI13" s="30">
        <f t="shared" ca="1" si="6"/>
        <v>151579.15344008172</v>
      </c>
      <c r="AJ13" s="2">
        <f t="shared" ca="1" si="6"/>
        <v>121497.74498560214</v>
      </c>
      <c r="AK13" s="27">
        <f t="shared" si="7"/>
        <v>33</v>
      </c>
      <c r="AL13" s="120">
        <f t="shared" ca="1" si="8"/>
        <v>260441.20659137049</v>
      </c>
      <c r="AM13" s="1">
        <f t="shared" si="9"/>
        <v>0</v>
      </c>
      <c r="AN13" s="30">
        <f t="shared" si="9"/>
        <v>0</v>
      </c>
      <c r="AO13" s="2">
        <f t="shared" si="9"/>
        <v>0</v>
      </c>
      <c r="AP13" s="9"/>
      <c r="AQ13" s="8"/>
      <c r="AR13" s="337">
        <f>Properties!$S$10</f>
        <v>0.2</v>
      </c>
      <c r="AS13" s="128">
        <f ca="1">Properties!$CI13</f>
        <v>0</v>
      </c>
      <c r="AT13" s="129">
        <f t="shared" ca="1" si="10"/>
        <v>0</v>
      </c>
      <c r="AU13" s="345">
        <f>SummaryInternal[[#This Row],[Over Floor Flooding]]</f>
        <v>0</v>
      </c>
      <c r="AV13" s="746"/>
      <c r="AW13" s="747"/>
      <c r="AX13" s="748"/>
      <c r="AY13" s="11"/>
      <c r="AZ13" s="11"/>
      <c r="BA13" s="27">
        <f t="shared" si="11"/>
        <v>8</v>
      </c>
      <c r="BB13" s="120">
        <f t="shared" ca="1" si="12"/>
        <v>150379.15596327081</v>
      </c>
      <c r="BC13" s="1">
        <f t="shared" ca="1" si="13"/>
        <v>109880.57629882764</v>
      </c>
      <c r="BD13" s="30">
        <f t="shared" ca="1" si="13"/>
        <v>87522.037907429505</v>
      </c>
      <c r="BE13" s="2">
        <f t="shared" ca="1" si="13"/>
        <v>70152.986086576333</v>
      </c>
      <c r="BF13" s="27">
        <f t="shared" si="14"/>
        <v>33</v>
      </c>
      <c r="BG13" s="120">
        <f t="shared" ca="1" si="15"/>
        <v>150379.15596327081</v>
      </c>
      <c r="BH13" s="1">
        <f t="shared" si="16"/>
        <v>0</v>
      </c>
      <c r="BI13" s="30">
        <f t="shared" si="16"/>
        <v>0</v>
      </c>
      <c r="BJ13" s="2">
        <f t="shared" si="16"/>
        <v>0</v>
      </c>
      <c r="BK13" s="9"/>
      <c r="BL13" s="8"/>
      <c r="BM13" s="337">
        <f>Properties!$S$10</f>
        <v>0.2</v>
      </c>
      <c r="BN13" s="128">
        <f>Properties!$CO13</f>
        <v>0</v>
      </c>
      <c r="BO13" s="129">
        <f t="shared" si="17"/>
        <v>0</v>
      </c>
      <c r="BP13" s="345">
        <f>SummaryExternal[[#This Row],[Over Ground Flooding]]</f>
        <v>0</v>
      </c>
      <c r="BQ13" s="746"/>
      <c r="BR13" s="747"/>
      <c r="BS13" s="748"/>
      <c r="BT13" s="11"/>
      <c r="BU13" s="11"/>
      <c r="BV13" s="27">
        <f t="shared" si="18"/>
        <v>8</v>
      </c>
      <c r="BW13" s="120">
        <f t="shared" si="19"/>
        <v>51278.303697539799</v>
      </c>
      <c r="BX13" s="1">
        <f t="shared" si="20"/>
        <v>37468.55424090934</v>
      </c>
      <c r="BY13" s="30">
        <f t="shared" si="20"/>
        <v>29844.439618619239</v>
      </c>
      <c r="BZ13" s="2">
        <f t="shared" si="20"/>
        <v>23921.707119538365</v>
      </c>
      <c r="CA13" s="27">
        <f t="shared" si="21"/>
        <v>33</v>
      </c>
      <c r="CB13" s="120">
        <f t="shared" si="22"/>
        <v>51278.303697539799</v>
      </c>
      <c r="CC13" s="1">
        <f t="shared" si="23"/>
        <v>0</v>
      </c>
      <c r="CD13" s="30">
        <f t="shared" si="23"/>
        <v>0</v>
      </c>
      <c r="CE13" s="2">
        <f t="shared" si="23"/>
        <v>0</v>
      </c>
      <c r="CF13" s="9"/>
      <c r="CG13" s="8"/>
      <c r="CH13" s="337">
        <f>Properties!$S$10</f>
        <v>0.2</v>
      </c>
      <c r="CI13" s="128">
        <f>Properties!$CU13</f>
        <v>0</v>
      </c>
      <c r="CJ13" s="129" cm="1">
        <f t="array" ref="CJ13">IFERROR(((CI13+CI14)/2*(CH14-CH13)),CI13/2)+(_xlfn.IFNA((CL13-CL14)*AWE*VLOOKUP(CH13,SocialWTP,2,TRUE),0))</f>
        <v>0</v>
      </c>
      <c r="CK13" s="345">
        <f>SummaryRiskToLife[[#This Row],[Over Ground Flooding]]</f>
        <v>0</v>
      </c>
      <c r="CL13" s="345">
        <f>Properties!$CX$41</f>
        <v>0</v>
      </c>
      <c r="CM13" s="767"/>
      <c r="CN13" s="768"/>
      <c r="CO13" s="11"/>
      <c r="CP13" s="11"/>
      <c r="CQ13" s="27">
        <f t="shared" si="24"/>
        <v>8</v>
      </c>
      <c r="CR13" s="120">
        <f t="shared" si="25"/>
        <v>12748.984293294741</v>
      </c>
      <c r="CS13" s="1">
        <f t="shared" si="26"/>
        <v>9315.5579468346059</v>
      </c>
      <c r="CT13" s="30">
        <f t="shared" si="26"/>
        <v>7420.0249326542116</v>
      </c>
      <c r="CU13" s="2">
        <f t="shared" si="26"/>
        <v>5947.4952629999661</v>
      </c>
      <c r="CV13" s="27">
        <f t="shared" si="27"/>
        <v>33</v>
      </c>
      <c r="CW13" s="120">
        <f t="shared" si="28"/>
        <v>12748.984293294741</v>
      </c>
      <c r="CX13" s="1">
        <f t="shared" si="29"/>
        <v>0</v>
      </c>
      <c r="CY13" s="30">
        <f t="shared" si="29"/>
        <v>0</v>
      </c>
      <c r="CZ13" s="2">
        <f t="shared" si="29"/>
        <v>0</v>
      </c>
      <c r="DA13" s="9"/>
    </row>
    <row r="14" spans="1:105" x14ac:dyDescent="0.3">
      <c r="A14" s="8"/>
      <c r="B14" s="337">
        <f>Properties!$T$10</f>
        <v>0.5</v>
      </c>
      <c r="C14" s="128">
        <f ca="1">Properties!$DA14</f>
        <v>0</v>
      </c>
      <c r="D14" s="129">
        <f t="shared" ca="1" si="0"/>
        <v>0</v>
      </c>
      <c r="E14" s="345">
        <f>SummaryCombined[[#This Row],[Flooding Count]]</f>
        <v>0</v>
      </c>
      <c r="F14" s="746"/>
      <c r="G14" s="747"/>
      <c r="H14" s="748"/>
      <c r="I14" s="11"/>
      <c r="J14" s="11"/>
      <c r="K14" s="27">
        <v>9</v>
      </c>
      <c r="L14" s="120">
        <f t="shared" ca="1" si="31"/>
        <v>474847.65054547589</v>
      </c>
      <c r="M14" s="1">
        <f t="shared" ca="1" si="1"/>
        <v>333621.66069402319</v>
      </c>
      <c r="N14" s="30">
        <f t="shared" ca="1" si="1"/>
        <v>258285.65971849035</v>
      </c>
      <c r="O14" s="2">
        <f t="shared" ca="1" si="1"/>
        <v>201381.7576861062</v>
      </c>
      <c r="P14" s="27">
        <v>34</v>
      </c>
      <c r="Q14" s="120">
        <f t="shared" ca="1" si="2"/>
        <v>474847.65054547589</v>
      </c>
      <c r="R14" s="1">
        <f t="shared" si="3"/>
        <v>0</v>
      </c>
      <c r="S14" s="30">
        <f t="shared" si="3"/>
        <v>0</v>
      </c>
      <c r="T14" s="2">
        <f t="shared" si="3"/>
        <v>0</v>
      </c>
      <c r="U14" s="9"/>
      <c r="V14" s="8"/>
      <c r="W14" s="337">
        <f>Properties!$T$10</f>
        <v>0.5</v>
      </c>
      <c r="X14" s="128">
        <f ca="1">Properties!$CC14</f>
        <v>0</v>
      </c>
      <c r="Y14" s="129">
        <f t="shared" ca="1" si="30"/>
        <v>0</v>
      </c>
      <c r="Z14" s="345">
        <f>SummaryStructural[[#This Row],[Over Floor Flooding]]</f>
        <v>0</v>
      </c>
      <c r="AA14" s="746"/>
      <c r="AB14" s="747"/>
      <c r="AC14" s="748"/>
      <c r="AD14" s="11"/>
      <c r="AE14" s="11"/>
      <c r="AF14" s="27">
        <f t="shared" si="4"/>
        <v>9</v>
      </c>
      <c r="AG14" s="120">
        <f t="shared" ca="1" si="5"/>
        <v>260441.20659137049</v>
      </c>
      <c r="AH14" s="1">
        <f t="shared" ca="1" si="6"/>
        <v>182982.53714924279</v>
      </c>
      <c r="AI14" s="30">
        <f t="shared" ca="1" si="6"/>
        <v>141662.76022437544</v>
      </c>
      <c r="AJ14" s="2">
        <f t="shared" ca="1" si="6"/>
        <v>110452.49544145647</v>
      </c>
      <c r="AK14" s="27">
        <f t="shared" si="7"/>
        <v>34</v>
      </c>
      <c r="AL14" s="120">
        <f t="shared" ca="1" si="8"/>
        <v>260441.20659137049</v>
      </c>
      <c r="AM14" s="1">
        <f t="shared" si="9"/>
        <v>0</v>
      </c>
      <c r="AN14" s="30">
        <f t="shared" si="9"/>
        <v>0</v>
      </c>
      <c r="AO14" s="2">
        <f t="shared" si="9"/>
        <v>0</v>
      </c>
      <c r="AP14" s="9"/>
      <c r="AQ14" s="8"/>
      <c r="AR14" s="337">
        <f>Properties!$T$10</f>
        <v>0.5</v>
      </c>
      <c r="AS14" s="128">
        <f ca="1">Properties!$CI14</f>
        <v>0</v>
      </c>
      <c r="AT14" s="129">
        <f t="shared" ca="1" si="10"/>
        <v>0</v>
      </c>
      <c r="AU14" s="345">
        <f>SummaryInternal[[#This Row],[Over Floor Flooding]]</f>
        <v>0</v>
      </c>
      <c r="AV14" s="746"/>
      <c r="AW14" s="747"/>
      <c r="AX14" s="748"/>
      <c r="AY14" s="11"/>
      <c r="AZ14" s="11"/>
      <c r="BA14" s="27">
        <f t="shared" si="11"/>
        <v>9</v>
      </c>
      <c r="BB14" s="120">
        <f t="shared" ca="1" si="12"/>
        <v>150379.15596327081</v>
      </c>
      <c r="BC14" s="1">
        <f t="shared" ca="1" si="13"/>
        <v>105654.40028733425</v>
      </c>
      <c r="BD14" s="30">
        <f t="shared" ca="1" si="13"/>
        <v>81796.297109747189</v>
      </c>
      <c r="BE14" s="2">
        <f t="shared" ca="1" si="13"/>
        <v>63775.441896887576</v>
      </c>
      <c r="BF14" s="27">
        <f t="shared" si="14"/>
        <v>34</v>
      </c>
      <c r="BG14" s="120">
        <f t="shared" ca="1" si="15"/>
        <v>150379.15596327081</v>
      </c>
      <c r="BH14" s="1">
        <f t="shared" si="16"/>
        <v>0</v>
      </c>
      <c r="BI14" s="30">
        <f t="shared" si="16"/>
        <v>0</v>
      </c>
      <c r="BJ14" s="2">
        <f t="shared" si="16"/>
        <v>0</v>
      </c>
      <c r="BK14" s="9"/>
      <c r="BL14" s="8"/>
      <c r="BM14" s="337">
        <f>Properties!$T$10</f>
        <v>0.5</v>
      </c>
      <c r="BN14" s="128">
        <f>Properties!$CO14</f>
        <v>0</v>
      </c>
      <c r="BO14" s="129">
        <f t="shared" si="17"/>
        <v>0</v>
      </c>
      <c r="BP14" s="345">
        <f>SummaryExternal[[#This Row],[Over Ground Flooding]]</f>
        <v>0</v>
      </c>
      <c r="BQ14" s="746"/>
      <c r="BR14" s="747"/>
      <c r="BS14" s="748"/>
      <c r="BT14" s="11"/>
      <c r="BU14" s="11"/>
      <c r="BV14" s="27">
        <f t="shared" si="18"/>
        <v>9</v>
      </c>
      <c r="BW14" s="120">
        <f t="shared" si="19"/>
        <v>51278.303697539799</v>
      </c>
      <c r="BX14" s="1">
        <f t="shared" si="20"/>
        <v>36027.456000874357</v>
      </c>
      <c r="BY14" s="30">
        <f t="shared" si="20"/>
        <v>27891.999643569379</v>
      </c>
      <c r="BZ14" s="2">
        <f t="shared" si="20"/>
        <v>21747.006472307603</v>
      </c>
      <c r="CA14" s="27">
        <f t="shared" si="21"/>
        <v>34</v>
      </c>
      <c r="CB14" s="120">
        <f t="shared" si="22"/>
        <v>51278.303697539799</v>
      </c>
      <c r="CC14" s="1">
        <f t="shared" si="23"/>
        <v>0</v>
      </c>
      <c r="CD14" s="30">
        <f t="shared" si="23"/>
        <v>0</v>
      </c>
      <c r="CE14" s="2">
        <f t="shared" si="23"/>
        <v>0</v>
      </c>
      <c r="CF14" s="9"/>
      <c r="CG14" s="8"/>
      <c r="CH14" s="337">
        <f>Properties!$T$10</f>
        <v>0.5</v>
      </c>
      <c r="CI14" s="128">
        <f>Properties!$CU14</f>
        <v>0</v>
      </c>
      <c r="CJ14" s="129" cm="1">
        <f t="array" ref="CJ14">IFERROR(((CI14+CI15)/2*(CH15-CH14)),CI14/2)+(_xlfn.IFNA((CL14-CL15)*AWE*VLOOKUP(CH14,SocialWTP,2,TRUE),0))</f>
        <v>0</v>
      </c>
      <c r="CK14" s="345">
        <f>SummaryRiskToLife[[#This Row],[Over Ground Flooding]]</f>
        <v>0</v>
      </c>
      <c r="CL14" s="345">
        <f>Properties!$CX$44</f>
        <v>0</v>
      </c>
      <c r="CM14" s="767"/>
      <c r="CN14" s="768"/>
      <c r="CO14" s="11"/>
      <c r="CP14" s="11"/>
      <c r="CQ14" s="27">
        <f t="shared" si="24"/>
        <v>9</v>
      </c>
      <c r="CR14" s="120">
        <f t="shared" si="25"/>
        <v>12748.984293294741</v>
      </c>
      <c r="CS14" s="1">
        <f t="shared" si="26"/>
        <v>8957.2672565717348</v>
      </c>
      <c r="CT14" s="30">
        <f t="shared" si="26"/>
        <v>6934.6027407983283</v>
      </c>
      <c r="CU14" s="2">
        <f t="shared" si="26"/>
        <v>5406.8138754545143</v>
      </c>
      <c r="CV14" s="27">
        <f t="shared" si="27"/>
        <v>34</v>
      </c>
      <c r="CW14" s="120">
        <f t="shared" si="28"/>
        <v>12748.984293294741</v>
      </c>
      <c r="CX14" s="1">
        <f t="shared" si="29"/>
        <v>0</v>
      </c>
      <c r="CY14" s="30">
        <f t="shared" si="29"/>
        <v>0</v>
      </c>
      <c r="CZ14" s="2">
        <f t="shared" si="29"/>
        <v>0</v>
      </c>
      <c r="DA14" s="9"/>
    </row>
    <row r="15" spans="1:105" x14ac:dyDescent="0.3">
      <c r="A15" s="8"/>
      <c r="B15" s="337">
        <f>Properties!$U$10</f>
        <v>1</v>
      </c>
      <c r="C15" s="128">
        <f ca="1">Properties!$DA15</f>
        <v>0</v>
      </c>
      <c r="D15" s="129">
        <f t="shared" ca="1" si="0"/>
        <v>0</v>
      </c>
      <c r="E15" s="345">
        <f>SummaryCombined[[#This Row],[Flooding Count]]</f>
        <v>0</v>
      </c>
      <c r="F15" s="749"/>
      <c r="G15" s="750"/>
      <c r="H15" s="751"/>
      <c r="I15" s="11"/>
      <c r="J15" s="11"/>
      <c r="K15" s="27">
        <v>10</v>
      </c>
      <c r="L15" s="120">
        <f t="shared" ca="1" si="31"/>
        <v>474847.65054547589</v>
      </c>
      <c r="M15" s="1">
        <f t="shared" ca="1" si="1"/>
        <v>320790.05835963768</v>
      </c>
      <c r="N15" s="30">
        <f t="shared" ca="1" si="1"/>
        <v>241388.46702662652</v>
      </c>
      <c r="O15" s="2">
        <f t="shared" ca="1" si="1"/>
        <v>183074.32516918742</v>
      </c>
      <c r="P15" s="27">
        <v>35</v>
      </c>
      <c r="Q15" s="120">
        <f t="shared" ca="1" si="2"/>
        <v>474847.65054547589</v>
      </c>
      <c r="R15" s="1">
        <f t="shared" si="3"/>
        <v>0</v>
      </c>
      <c r="S15" s="30">
        <f t="shared" si="3"/>
        <v>0</v>
      </c>
      <c r="T15" s="2">
        <f t="shared" si="3"/>
        <v>0</v>
      </c>
      <c r="U15" s="9"/>
      <c r="V15" s="8"/>
      <c r="W15" s="337">
        <f>Properties!$U$10</f>
        <v>1</v>
      </c>
      <c r="X15" s="128">
        <f ca="1">Properties!$CC15</f>
        <v>0</v>
      </c>
      <c r="Y15" s="129">
        <f t="shared" ca="1" si="30"/>
        <v>0</v>
      </c>
      <c r="Z15" s="345">
        <f>SummaryStructural[[#This Row],[Over Floor Flooding]]</f>
        <v>0</v>
      </c>
      <c r="AA15" s="749"/>
      <c r="AB15" s="750"/>
      <c r="AC15" s="751"/>
      <c r="AD15" s="11"/>
      <c r="AE15" s="11"/>
      <c r="AF15" s="27">
        <f t="shared" si="4"/>
        <v>10</v>
      </c>
      <c r="AG15" s="120">
        <f t="shared" ca="1" si="5"/>
        <v>260441.20659137049</v>
      </c>
      <c r="AH15" s="1">
        <f t="shared" ca="1" si="6"/>
        <v>175944.74725888728</v>
      </c>
      <c r="AI15" s="30">
        <f t="shared" ca="1" si="6"/>
        <v>132395.10301343497</v>
      </c>
      <c r="AJ15" s="2">
        <f t="shared" ca="1" si="6"/>
        <v>100411.35949223315</v>
      </c>
      <c r="AK15" s="27">
        <f t="shared" si="7"/>
        <v>35</v>
      </c>
      <c r="AL15" s="120">
        <f t="shared" ca="1" si="8"/>
        <v>260441.20659137049</v>
      </c>
      <c r="AM15" s="1">
        <f t="shared" si="9"/>
        <v>0</v>
      </c>
      <c r="AN15" s="30">
        <f t="shared" si="9"/>
        <v>0</v>
      </c>
      <c r="AO15" s="2">
        <f t="shared" si="9"/>
        <v>0</v>
      </c>
      <c r="AP15" s="9"/>
      <c r="AQ15" s="8"/>
      <c r="AR15" s="337">
        <f>Properties!$U$10</f>
        <v>1</v>
      </c>
      <c r="AS15" s="128">
        <f ca="1">Properties!$CI15</f>
        <v>0</v>
      </c>
      <c r="AT15" s="129">
        <f t="shared" ca="1" si="10"/>
        <v>0</v>
      </c>
      <c r="AU15" s="345">
        <f>SummaryInternal[[#This Row],[Over Floor Flooding]]</f>
        <v>0</v>
      </c>
      <c r="AV15" s="749"/>
      <c r="AW15" s="750"/>
      <c r="AX15" s="751"/>
      <c r="AY15" s="11"/>
      <c r="AZ15" s="11"/>
      <c r="BA15" s="27">
        <f t="shared" si="11"/>
        <v>10</v>
      </c>
      <c r="BB15" s="120">
        <f t="shared" ca="1" si="12"/>
        <v>150379.15596327081</v>
      </c>
      <c r="BC15" s="1">
        <f t="shared" ca="1" si="13"/>
        <v>101590.76950705217</v>
      </c>
      <c r="BD15" s="30">
        <f t="shared" ca="1" si="13"/>
        <v>76445.137485745043</v>
      </c>
      <c r="BE15" s="2">
        <f t="shared" ca="1" si="13"/>
        <v>57977.674451715968</v>
      </c>
      <c r="BF15" s="27">
        <f t="shared" si="14"/>
        <v>35</v>
      </c>
      <c r="BG15" s="120">
        <f t="shared" ca="1" si="15"/>
        <v>150379.15596327081</v>
      </c>
      <c r="BH15" s="1">
        <f t="shared" si="16"/>
        <v>0</v>
      </c>
      <c r="BI15" s="30">
        <f t="shared" si="16"/>
        <v>0</v>
      </c>
      <c r="BJ15" s="2">
        <f t="shared" si="16"/>
        <v>0</v>
      </c>
      <c r="BK15" s="9"/>
      <c r="BL15" s="8"/>
      <c r="BM15" s="337">
        <f>Properties!$U$10</f>
        <v>1</v>
      </c>
      <c r="BN15" s="128">
        <f>Properties!$CO15</f>
        <v>0</v>
      </c>
      <c r="BO15" s="129">
        <f t="shared" si="17"/>
        <v>0</v>
      </c>
      <c r="BP15" s="345">
        <f>SummaryExternal[[#This Row],[Over Ground Flooding]]</f>
        <v>0</v>
      </c>
      <c r="BQ15" s="749"/>
      <c r="BR15" s="750"/>
      <c r="BS15" s="751"/>
      <c r="BT15" s="11"/>
      <c r="BU15" s="11"/>
      <c r="BV15" s="27">
        <f t="shared" si="18"/>
        <v>10</v>
      </c>
      <c r="BW15" s="120">
        <f t="shared" si="19"/>
        <v>51278.303697539799</v>
      </c>
      <c r="BX15" s="1">
        <f t="shared" si="20"/>
        <v>34641.784616225348</v>
      </c>
      <c r="BY15" s="30">
        <f t="shared" si="20"/>
        <v>26067.289386513439</v>
      </c>
      <c r="BZ15" s="2">
        <f t="shared" si="20"/>
        <v>19770.005883916001</v>
      </c>
      <c r="CA15" s="27">
        <f t="shared" si="21"/>
        <v>35</v>
      </c>
      <c r="CB15" s="120">
        <f t="shared" si="22"/>
        <v>51278.303697539799</v>
      </c>
      <c r="CC15" s="1">
        <f t="shared" si="23"/>
        <v>0</v>
      </c>
      <c r="CD15" s="30">
        <f t="shared" si="23"/>
        <v>0</v>
      </c>
      <c r="CE15" s="2">
        <f t="shared" si="23"/>
        <v>0</v>
      </c>
      <c r="CF15" s="9"/>
      <c r="CG15" s="8"/>
      <c r="CH15" s="337">
        <f>Properties!$U$10</f>
        <v>1</v>
      </c>
      <c r="CI15" s="128">
        <f>Properties!$CU15</f>
        <v>0</v>
      </c>
      <c r="CJ15" s="129" cm="1">
        <f t="array" ref="CJ15">IFERROR(((CI15+CI16)/2*(CH16-CH15)),CI15/2)+(_xlfn.IFNA((CL15-CL16)*AWE*VLOOKUP(CH15,SocialWTP,2,TRUE),0))</f>
        <v>0</v>
      </c>
      <c r="CK15" s="345">
        <f>SummaryRiskToLife[[#This Row],[Over Ground Flooding]]</f>
        <v>0</v>
      </c>
      <c r="CL15" s="345">
        <f>Properties!$CX$47</f>
        <v>0</v>
      </c>
      <c r="CM15" s="767"/>
      <c r="CN15" s="768"/>
      <c r="CO15" s="11"/>
      <c r="CP15" s="11"/>
      <c r="CQ15" s="27">
        <f t="shared" si="24"/>
        <v>10</v>
      </c>
      <c r="CR15" s="120">
        <f t="shared" si="25"/>
        <v>12748.984293294741</v>
      </c>
      <c r="CS15" s="1">
        <f t="shared" si="26"/>
        <v>8612.7569774728236</v>
      </c>
      <c r="CT15" s="30">
        <f t="shared" si="26"/>
        <v>6480.937140933017</v>
      </c>
      <c r="CU15" s="2">
        <f t="shared" si="26"/>
        <v>4915.2853413222856</v>
      </c>
      <c r="CV15" s="27">
        <f t="shared" si="27"/>
        <v>35</v>
      </c>
      <c r="CW15" s="120">
        <f t="shared" si="28"/>
        <v>12748.984293294741</v>
      </c>
      <c r="CX15" s="1">
        <f t="shared" si="29"/>
        <v>0</v>
      </c>
      <c r="CY15" s="30">
        <f t="shared" si="29"/>
        <v>0</v>
      </c>
      <c r="CZ15" s="2">
        <f t="shared" si="29"/>
        <v>0</v>
      </c>
      <c r="DA15" s="9"/>
    </row>
    <row r="16" spans="1:105" ht="15" thickBot="1" x14ac:dyDescent="0.35">
      <c r="A16" s="8"/>
      <c r="B16" s="735" t="s">
        <v>4</v>
      </c>
      <c r="C16" s="736"/>
      <c r="D16" s="341">
        <f ca="1">SUM(D6:D15)</f>
        <v>474847.65054547589</v>
      </c>
      <c r="E16" s="342"/>
      <c r="F16" s="752"/>
      <c r="G16" s="753"/>
      <c r="H16" s="754"/>
      <c r="I16" s="11"/>
      <c r="J16" s="11"/>
      <c r="K16" s="27">
        <v>11</v>
      </c>
      <c r="L16" s="120">
        <f t="shared" ca="1" si="31"/>
        <v>474847.65054547589</v>
      </c>
      <c r="M16" s="1">
        <f t="shared" ca="1" si="1"/>
        <v>308451.97919195931</v>
      </c>
      <c r="N16" s="30">
        <f t="shared" ca="1" si="1"/>
        <v>225596.69815572567</v>
      </c>
      <c r="O16" s="2">
        <f t="shared" ca="1" si="1"/>
        <v>166431.20469926129</v>
      </c>
      <c r="P16" s="27">
        <v>36</v>
      </c>
      <c r="Q16" s="120">
        <f t="shared" ca="1" si="2"/>
        <v>474847.65054547589</v>
      </c>
      <c r="R16" s="1">
        <f t="shared" si="3"/>
        <v>0</v>
      </c>
      <c r="S16" s="30">
        <f t="shared" si="3"/>
        <v>0</v>
      </c>
      <c r="T16" s="2">
        <f t="shared" si="3"/>
        <v>0</v>
      </c>
      <c r="U16" s="9"/>
      <c r="V16" s="8"/>
      <c r="W16" s="735" t="s">
        <v>4</v>
      </c>
      <c r="X16" s="736"/>
      <c r="Y16" s="341">
        <f ca="1">SUM(Y6:Y15)</f>
        <v>260441.20659137049</v>
      </c>
      <c r="Z16" s="342"/>
      <c r="AA16" s="752"/>
      <c r="AB16" s="753"/>
      <c r="AC16" s="754"/>
      <c r="AD16" s="11"/>
      <c r="AE16" s="11"/>
      <c r="AF16" s="27">
        <f t="shared" si="4"/>
        <v>11</v>
      </c>
      <c r="AG16" s="120">
        <f t="shared" ca="1" si="5"/>
        <v>260441.20659137049</v>
      </c>
      <c r="AH16" s="1">
        <f t="shared" ca="1" si="6"/>
        <v>169177.64159508396</v>
      </c>
      <c r="AI16" s="30">
        <f t="shared" ca="1" si="6"/>
        <v>123733.74113405136</v>
      </c>
      <c r="AJ16" s="2">
        <f t="shared" ca="1" si="6"/>
        <v>91283.054083848299</v>
      </c>
      <c r="AK16" s="27">
        <f t="shared" si="7"/>
        <v>36</v>
      </c>
      <c r="AL16" s="120">
        <f t="shared" ca="1" si="8"/>
        <v>260441.20659137049</v>
      </c>
      <c r="AM16" s="1">
        <f t="shared" si="9"/>
        <v>0</v>
      </c>
      <c r="AN16" s="30">
        <f t="shared" si="9"/>
        <v>0</v>
      </c>
      <c r="AO16" s="2">
        <f t="shared" si="9"/>
        <v>0</v>
      </c>
      <c r="AP16" s="9"/>
      <c r="AQ16" s="8"/>
      <c r="AR16" s="735" t="s">
        <v>4</v>
      </c>
      <c r="AS16" s="736"/>
      <c r="AT16" s="341">
        <f ca="1">SUM(AT6:AT15)</f>
        <v>150379.15596327081</v>
      </c>
      <c r="AU16" s="342"/>
      <c r="AV16" s="752"/>
      <c r="AW16" s="753"/>
      <c r="AX16" s="754"/>
      <c r="AY16" s="11"/>
      <c r="AZ16" s="11"/>
      <c r="BA16" s="27">
        <f t="shared" si="11"/>
        <v>11</v>
      </c>
      <c r="BB16" s="120">
        <f t="shared" ca="1" si="12"/>
        <v>150379.15596327081</v>
      </c>
      <c r="BC16" s="1">
        <f t="shared" ca="1" si="13"/>
        <v>97683.432218319402</v>
      </c>
      <c r="BD16" s="30">
        <f t="shared" ca="1" si="13"/>
        <v>71444.053724995363</v>
      </c>
      <c r="BE16" s="2">
        <f t="shared" ca="1" si="13"/>
        <v>52706.976774287235</v>
      </c>
      <c r="BF16" s="27">
        <f t="shared" si="14"/>
        <v>36</v>
      </c>
      <c r="BG16" s="120">
        <f t="shared" ca="1" si="15"/>
        <v>150379.15596327081</v>
      </c>
      <c r="BH16" s="1">
        <f t="shared" si="16"/>
        <v>0</v>
      </c>
      <c r="BI16" s="30">
        <f t="shared" si="16"/>
        <v>0</v>
      </c>
      <c r="BJ16" s="2">
        <f t="shared" si="16"/>
        <v>0</v>
      </c>
      <c r="BK16" s="9"/>
      <c r="BL16" s="8"/>
      <c r="BM16" s="735" t="s">
        <v>4</v>
      </c>
      <c r="BN16" s="736"/>
      <c r="BO16" s="341">
        <f>SUM(BO6:BO15)</f>
        <v>51278.303697539799</v>
      </c>
      <c r="BP16" s="342"/>
      <c r="BQ16" s="752"/>
      <c r="BR16" s="753"/>
      <c r="BS16" s="754"/>
      <c r="BT16" s="11"/>
      <c r="BU16" s="11"/>
      <c r="BV16" s="27">
        <f t="shared" si="18"/>
        <v>11</v>
      </c>
      <c r="BW16" s="120">
        <f t="shared" si="19"/>
        <v>51278.303697539799</v>
      </c>
      <c r="BX16" s="1">
        <f t="shared" si="20"/>
        <v>33309.408284832069</v>
      </c>
      <c r="BY16" s="30">
        <f t="shared" si="20"/>
        <v>24361.952697676108</v>
      </c>
      <c r="BZ16" s="2">
        <f t="shared" si="20"/>
        <v>17972.732621741816</v>
      </c>
      <c r="CA16" s="27">
        <f t="shared" si="21"/>
        <v>36</v>
      </c>
      <c r="CB16" s="120">
        <f t="shared" si="22"/>
        <v>51278.303697539799</v>
      </c>
      <c r="CC16" s="1">
        <f t="shared" si="23"/>
        <v>0</v>
      </c>
      <c r="CD16" s="30">
        <f t="shared" si="23"/>
        <v>0</v>
      </c>
      <c r="CE16" s="2">
        <f t="shared" si="23"/>
        <v>0</v>
      </c>
      <c r="CF16" s="9"/>
      <c r="CG16" s="8"/>
      <c r="CH16" s="735" t="s">
        <v>4</v>
      </c>
      <c r="CI16" s="736"/>
      <c r="CJ16" s="341">
        <f>SUM(CJ6:CJ15)</f>
        <v>12748.984293294741</v>
      </c>
      <c r="CK16" s="342"/>
      <c r="CL16" s="342"/>
      <c r="CM16" s="332"/>
      <c r="CN16" s="333"/>
      <c r="CO16" s="11"/>
      <c r="CP16" s="11"/>
      <c r="CQ16" s="27">
        <f t="shared" si="24"/>
        <v>11</v>
      </c>
      <c r="CR16" s="120">
        <f t="shared" si="25"/>
        <v>12748.984293294741</v>
      </c>
      <c r="CS16" s="1">
        <f t="shared" si="26"/>
        <v>8281.4970937238686</v>
      </c>
      <c r="CT16" s="30">
        <f t="shared" si="26"/>
        <v>6056.9505990028192</v>
      </c>
      <c r="CU16" s="2">
        <f t="shared" si="26"/>
        <v>4468.4412193838953</v>
      </c>
      <c r="CV16" s="27">
        <f t="shared" si="27"/>
        <v>36</v>
      </c>
      <c r="CW16" s="120">
        <f t="shared" si="28"/>
        <v>12748.984293294741</v>
      </c>
      <c r="CX16" s="1">
        <f t="shared" si="29"/>
        <v>0</v>
      </c>
      <c r="CY16" s="30">
        <f t="shared" si="29"/>
        <v>0</v>
      </c>
      <c r="CZ16" s="2">
        <f t="shared" si="29"/>
        <v>0</v>
      </c>
      <c r="DA16" s="9"/>
    </row>
    <row r="17" spans="1:105" x14ac:dyDescent="0.3">
      <c r="A17" s="8"/>
      <c r="B17" s="11"/>
      <c r="C17" s="11"/>
      <c r="D17" s="11"/>
      <c r="E17" s="11"/>
      <c r="F17" s="11"/>
      <c r="G17" s="11"/>
      <c r="H17" s="11"/>
      <c r="J17" s="11"/>
      <c r="K17" s="27">
        <v>12</v>
      </c>
      <c r="L17" s="120">
        <f t="shared" ca="1" si="31"/>
        <v>474847.65054547589</v>
      </c>
      <c r="M17" s="1">
        <f t="shared" ca="1" si="1"/>
        <v>296588.44153073005</v>
      </c>
      <c r="N17" s="30">
        <f t="shared" ca="1" si="1"/>
        <v>210838.03565955674</v>
      </c>
      <c r="O17" s="2">
        <f t="shared" ca="1" si="1"/>
        <v>151301.09518114661</v>
      </c>
      <c r="P17" s="27">
        <v>37</v>
      </c>
      <c r="Q17" s="120">
        <f t="shared" ca="1" si="2"/>
        <v>474847.65054547589</v>
      </c>
      <c r="R17" s="1">
        <f t="shared" si="3"/>
        <v>0</v>
      </c>
      <c r="S17" s="30">
        <f t="shared" si="3"/>
        <v>0</v>
      </c>
      <c r="T17" s="2">
        <f t="shared" si="3"/>
        <v>0</v>
      </c>
      <c r="U17" s="9"/>
      <c r="V17" s="8"/>
      <c r="W17" s="11"/>
      <c r="X17" s="11"/>
      <c r="Y17" s="11"/>
      <c r="Z17" s="11"/>
      <c r="AA17" s="11"/>
      <c r="AB17" s="11"/>
      <c r="AC17" s="11"/>
      <c r="AE17" s="11"/>
      <c r="AF17" s="27">
        <f t="shared" si="4"/>
        <v>12</v>
      </c>
      <c r="AG17" s="120">
        <f t="shared" ca="1" si="5"/>
        <v>260441.20659137049</v>
      </c>
      <c r="AH17" s="1">
        <f t="shared" ca="1" si="6"/>
        <v>162670.80922604221</v>
      </c>
      <c r="AI17" s="30">
        <f t="shared" ca="1" si="6"/>
        <v>115639.01040565551</v>
      </c>
      <c r="AJ17" s="2">
        <f t="shared" ca="1" si="6"/>
        <v>82984.594621680284</v>
      </c>
      <c r="AK17" s="27">
        <f t="shared" si="7"/>
        <v>37</v>
      </c>
      <c r="AL17" s="120">
        <f t="shared" ca="1" si="8"/>
        <v>260441.20659137049</v>
      </c>
      <c r="AM17" s="1">
        <f t="shared" si="9"/>
        <v>0</v>
      </c>
      <c r="AN17" s="30">
        <f t="shared" si="9"/>
        <v>0</v>
      </c>
      <c r="AO17" s="2">
        <f t="shared" si="9"/>
        <v>0</v>
      </c>
      <c r="AP17" s="9"/>
      <c r="AQ17" s="8"/>
      <c r="AR17" s="11"/>
      <c r="AS17" s="11"/>
      <c r="AT17" s="11"/>
      <c r="AU17" s="11"/>
      <c r="AV17" s="11"/>
      <c r="AW17" s="11"/>
      <c r="AX17" s="11"/>
      <c r="AY17" s="11"/>
      <c r="AZ17" s="11"/>
      <c r="BA17" s="27">
        <f t="shared" si="11"/>
        <v>12</v>
      </c>
      <c r="BB17" s="120">
        <f t="shared" ca="1" si="12"/>
        <v>150379.15596327081</v>
      </c>
      <c r="BC17" s="1">
        <f t="shared" ca="1" si="13"/>
        <v>93926.377132999405</v>
      </c>
      <c r="BD17" s="30">
        <f t="shared" ca="1" si="13"/>
        <v>66770.143668219971</v>
      </c>
      <c r="BE17" s="2">
        <f t="shared" ca="1" si="13"/>
        <v>47915.433431170219</v>
      </c>
      <c r="BF17" s="27">
        <f t="shared" si="14"/>
        <v>37</v>
      </c>
      <c r="BG17" s="120">
        <f t="shared" ca="1" si="15"/>
        <v>150379.15596327081</v>
      </c>
      <c r="BH17" s="1">
        <f t="shared" si="16"/>
        <v>0</v>
      </c>
      <c r="BI17" s="30">
        <f t="shared" si="16"/>
        <v>0</v>
      </c>
      <c r="BJ17" s="2">
        <f t="shared" si="16"/>
        <v>0</v>
      </c>
      <c r="BK17" s="9"/>
      <c r="BL17" s="8"/>
      <c r="BM17" s="11"/>
      <c r="BN17" s="11"/>
      <c r="BO17" s="11"/>
      <c r="BP17" s="11"/>
      <c r="BQ17" s="11"/>
      <c r="BR17" s="11"/>
      <c r="BS17" s="11"/>
      <c r="BT17" s="11"/>
      <c r="BU17" s="11"/>
      <c r="BV17" s="27">
        <f t="shared" si="18"/>
        <v>12</v>
      </c>
      <c r="BW17" s="120">
        <f t="shared" si="19"/>
        <v>51278.303697539799</v>
      </c>
      <c r="BX17" s="1">
        <f t="shared" si="20"/>
        <v>32028.277196953903</v>
      </c>
      <c r="BY17" s="30">
        <f t="shared" si="20"/>
        <v>22768.180091286085</v>
      </c>
      <c r="BZ17" s="2">
        <f t="shared" si="20"/>
        <v>16338.847837947105</v>
      </c>
      <c r="CA17" s="27">
        <f t="shared" si="21"/>
        <v>37</v>
      </c>
      <c r="CB17" s="120">
        <f t="shared" si="22"/>
        <v>51278.303697539799</v>
      </c>
      <c r="CC17" s="1">
        <f t="shared" si="23"/>
        <v>0</v>
      </c>
      <c r="CD17" s="30">
        <f t="shared" si="23"/>
        <v>0</v>
      </c>
      <c r="CE17" s="2">
        <f t="shared" si="23"/>
        <v>0</v>
      </c>
      <c r="CF17" s="9"/>
      <c r="CG17" s="8"/>
      <c r="CH17" s="11"/>
      <c r="CI17" s="11"/>
      <c r="CJ17" s="11"/>
      <c r="CK17" s="11"/>
      <c r="CL17" s="11"/>
      <c r="CM17" s="11"/>
      <c r="CN17" s="11"/>
      <c r="CO17" s="11"/>
      <c r="CP17" s="11"/>
      <c r="CQ17" s="27">
        <f t="shared" si="24"/>
        <v>12</v>
      </c>
      <c r="CR17" s="120">
        <f t="shared" si="25"/>
        <v>12748.984293294741</v>
      </c>
      <c r="CS17" s="1">
        <f t="shared" si="26"/>
        <v>7962.9779747344874</v>
      </c>
      <c r="CT17" s="30">
        <f t="shared" si="26"/>
        <v>5660.701494395159</v>
      </c>
      <c r="CU17" s="2">
        <f t="shared" si="26"/>
        <v>4062.2192903489954</v>
      </c>
      <c r="CV17" s="27">
        <f t="shared" si="27"/>
        <v>37</v>
      </c>
      <c r="CW17" s="120">
        <f t="shared" si="28"/>
        <v>12748.984293294741</v>
      </c>
      <c r="CX17" s="1">
        <f t="shared" si="29"/>
        <v>0</v>
      </c>
      <c r="CY17" s="30">
        <f t="shared" si="29"/>
        <v>0</v>
      </c>
      <c r="CZ17" s="2">
        <f t="shared" si="29"/>
        <v>0</v>
      </c>
      <c r="DA17" s="9"/>
    </row>
    <row r="18" spans="1:105" x14ac:dyDescent="0.3">
      <c r="A18" s="8"/>
      <c r="D18" s="11"/>
      <c r="E18" s="11"/>
      <c r="F18" s="11"/>
      <c r="G18" s="11"/>
      <c r="H18" s="11"/>
      <c r="I18" s="11"/>
      <c r="J18" s="11"/>
      <c r="K18" s="27">
        <v>13</v>
      </c>
      <c r="L18" s="120">
        <f t="shared" ca="1" si="31"/>
        <v>474847.65054547589</v>
      </c>
      <c r="M18" s="1">
        <f t="shared" ca="1" si="1"/>
        <v>285181.19377954811</v>
      </c>
      <c r="N18" s="30">
        <f t="shared" ca="1" si="1"/>
        <v>197044.89313977264</v>
      </c>
      <c r="O18" s="2">
        <f t="shared" ca="1" si="1"/>
        <v>137546.45016467874</v>
      </c>
      <c r="P18" s="27">
        <v>38</v>
      </c>
      <c r="Q18" s="120">
        <f t="shared" ca="1" si="2"/>
        <v>474847.65054547589</v>
      </c>
      <c r="R18" s="1">
        <f t="shared" si="3"/>
        <v>0</v>
      </c>
      <c r="S18" s="30">
        <f t="shared" si="3"/>
        <v>0</v>
      </c>
      <c r="T18" s="2">
        <f t="shared" si="3"/>
        <v>0</v>
      </c>
      <c r="U18" s="9"/>
      <c r="V18" s="8"/>
      <c r="Y18" s="11"/>
      <c r="Z18" s="11"/>
      <c r="AA18" s="11"/>
      <c r="AB18" s="11"/>
      <c r="AC18" s="11"/>
      <c r="AD18" s="11"/>
      <c r="AE18" s="11"/>
      <c r="AF18" s="27">
        <f t="shared" si="4"/>
        <v>13</v>
      </c>
      <c r="AG18" s="120">
        <f t="shared" ca="1" si="5"/>
        <v>260441.20659137049</v>
      </c>
      <c r="AH18" s="1">
        <f t="shared" ca="1" si="6"/>
        <v>156414.23964042522</v>
      </c>
      <c r="AI18" s="30">
        <f t="shared" ca="1" si="6"/>
        <v>108073.84150061262</v>
      </c>
      <c r="AJ18" s="2">
        <f t="shared" ca="1" si="6"/>
        <v>75440.540565163887</v>
      </c>
      <c r="AK18" s="27">
        <f t="shared" si="7"/>
        <v>38</v>
      </c>
      <c r="AL18" s="120">
        <f t="shared" ca="1" si="8"/>
        <v>260441.20659137049</v>
      </c>
      <c r="AM18" s="1">
        <f t="shared" si="9"/>
        <v>0</v>
      </c>
      <c r="AN18" s="30">
        <f t="shared" si="9"/>
        <v>0</v>
      </c>
      <c r="AO18" s="2">
        <f t="shared" si="9"/>
        <v>0</v>
      </c>
      <c r="AP18" s="9"/>
      <c r="AQ18" s="8"/>
      <c r="AT18" s="11"/>
      <c r="AU18" s="11"/>
      <c r="AV18" s="11"/>
      <c r="AW18" s="11"/>
      <c r="AX18" s="11"/>
      <c r="AY18" s="11"/>
      <c r="AZ18" s="11"/>
      <c r="BA18" s="27">
        <f t="shared" si="11"/>
        <v>13</v>
      </c>
      <c r="BB18" s="120">
        <f t="shared" ca="1" si="12"/>
        <v>150379.15596327081</v>
      </c>
      <c r="BC18" s="1">
        <f t="shared" ca="1" si="13"/>
        <v>90313.824166345585</v>
      </c>
      <c r="BD18" s="30">
        <f t="shared" ca="1" si="13"/>
        <v>62402.003428242962</v>
      </c>
      <c r="BE18" s="2">
        <f t="shared" ca="1" si="13"/>
        <v>43559.484937427471</v>
      </c>
      <c r="BF18" s="27">
        <f t="shared" si="14"/>
        <v>38</v>
      </c>
      <c r="BG18" s="120">
        <f t="shared" ca="1" si="15"/>
        <v>150379.15596327081</v>
      </c>
      <c r="BH18" s="1">
        <f t="shared" si="16"/>
        <v>0</v>
      </c>
      <c r="BI18" s="30">
        <f t="shared" si="16"/>
        <v>0</v>
      </c>
      <c r="BJ18" s="2">
        <f t="shared" si="16"/>
        <v>0</v>
      </c>
      <c r="BK18" s="9"/>
      <c r="BL18" s="8"/>
      <c r="BO18" s="11"/>
      <c r="BP18" s="11"/>
      <c r="BQ18" s="11"/>
      <c r="BR18" s="11"/>
      <c r="BS18" s="11"/>
      <c r="BT18" s="11"/>
      <c r="BU18" s="11"/>
      <c r="BV18" s="27">
        <f t="shared" si="18"/>
        <v>13</v>
      </c>
      <c r="BW18" s="120">
        <f t="shared" si="19"/>
        <v>51278.303697539799</v>
      </c>
      <c r="BX18" s="1">
        <f t="shared" si="20"/>
        <v>30796.420381686446</v>
      </c>
      <c r="BY18" s="30">
        <f t="shared" si="20"/>
        <v>21278.672982510361</v>
      </c>
      <c r="BZ18" s="2">
        <f t="shared" si="20"/>
        <v>14853.498034497368</v>
      </c>
      <c r="CA18" s="27">
        <f t="shared" si="21"/>
        <v>38</v>
      </c>
      <c r="CB18" s="120">
        <f t="shared" si="22"/>
        <v>51278.303697539799</v>
      </c>
      <c r="CC18" s="1">
        <f t="shared" si="23"/>
        <v>0</v>
      </c>
      <c r="CD18" s="30">
        <f t="shared" si="23"/>
        <v>0</v>
      </c>
      <c r="CE18" s="2">
        <f t="shared" si="23"/>
        <v>0</v>
      </c>
      <c r="CF18" s="9"/>
      <c r="CG18" s="8"/>
      <c r="CJ18" s="11"/>
      <c r="CK18" s="11"/>
      <c r="CL18" s="11"/>
      <c r="CM18" s="11"/>
      <c r="CN18" s="11"/>
      <c r="CO18" s="11"/>
      <c r="CP18" s="11"/>
      <c r="CQ18" s="27">
        <f t="shared" si="24"/>
        <v>13</v>
      </c>
      <c r="CR18" s="120">
        <f t="shared" si="25"/>
        <v>12748.984293294741</v>
      </c>
      <c r="CS18" s="1">
        <f t="shared" si="26"/>
        <v>7656.7095910908529</v>
      </c>
      <c r="CT18" s="30">
        <f t="shared" si="26"/>
        <v>5290.3752284066904</v>
      </c>
      <c r="CU18" s="2">
        <f t="shared" si="26"/>
        <v>3692.9266275899959</v>
      </c>
      <c r="CV18" s="27">
        <f t="shared" si="27"/>
        <v>38</v>
      </c>
      <c r="CW18" s="120">
        <f t="shared" si="28"/>
        <v>12748.984293294741</v>
      </c>
      <c r="CX18" s="1">
        <f t="shared" si="29"/>
        <v>0</v>
      </c>
      <c r="CY18" s="30">
        <f t="shared" si="29"/>
        <v>0</v>
      </c>
      <c r="CZ18" s="2">
        <f t="shared" si="29"/>
        <v>0</v>
      </c>
      <c r="DA18" s="9"/>
    </row>
    <row r="19" spans="1:105" x14ac:dyDescent="0.3">
      <c r="A19" s="8"/>
      <c r="B19" s="214"/>
      <c r="C19" s="11"/>
      <c r="D19" s="11"/>
      <c r="E19" s="11"/>
      <c r="F19" s="11"/>
      <c r="G19" s="11"/>
      <c r="H19" s="11"/>
      <c r="I19" s="11"/>
      <c r="J19" s="11"/>
      <c r="K19" s="27">
        <v>14</v>
      </c>
      <c r="L19" s="120">
        <f t="shared" ca="1" si="31"/>
        <v>474847.65054547589</v>
      </c>
      <c r="M19" s="1">
        <f t="shared" ca="1" si="1"/>
        <v>274212.68632648856</v>
      </c>
      <c r="N19" s="30">
        <f t="shared" ca="1" si="1"/>
        <v>184154.10573810528</v>
      </c>
      <c r="O19" s="2">
        <f t="shared" ca="1" si="1"/>
        <v>125042.2274224352</v>
      </c>
      <c r="P19" s="27">
        <v>39</v>
      </c>
      <c r="Q19" s="120">
        <f t="shared" ca="1" si="2"/>
        <v>474847.65054547589</v>
      </c>
      <c r="R19" s="1">
        <f t="shared" si="3"/>
        <v>0</v>
      </c>
      <c r="S19" s="30">
        <f t="shared" si="3"/>
        <v>0</v>
      </c>
      <c r="T19" s="2">
        <f t="shared" si="3"/>
        <v>0</v>
      </c>
      <c r="U19" s="9"/>
      <c r="V19" s="8"/>
      <c r="W19" s="214"/>
      <c r="X19" s="11"/>
      <c r="Y19" s="11"/>
      <c r="Z19" s="11"/>
      <c r="AA19" s="11"/>
      <c r="AB19" s="11"/>
      <c r="AC19" s="11"/>
      <c r="AD19" s="11"/>
      <c r="AE19" s="11"/>
      <c r="AF19" s="27">
        <f t="shared" si="4"/>
        <v>14</v>
      </c>
      <c r="AG19" s="120">
        <f t="shared" ca="1" si="5"/>
        <v>260441.20659137049</v>
      </c>
      <c r="AH19" s="1">
        <f t="shared" ca="1" si="6"/>
        <v>150398.30734656271</v>
      </c>
      <c r="AI19" s="30">
        <f t="shared" ca="1" si="6"/>
        <v>101003.59018748843</v>
      </c>
      <c r="AJ19" s="2">
        <f t="shared" ca="1" si="6"/>
        <v>68582.309604694427</v>
      </c>
      <c r="AK19" s="27">
        <f t="shared" si="7"/>
        <v>39</v>
      </c>
      <c r="AL19" s="120">
        <f t="shared" ca="1" si="8"/>
        <v>260441.20659137049</v>
      </c>
      <c r="AM19" s="1">
        <f t="shared" si="9"/>
        <v>0</v>
      </c>
      <c r="AN19" s="30">
        <f t="shared" si="9"/>
        <v>0</v>
      </c>
      <c r="AO19" s="2">
        <f t="shared" si="9"/>
        <v>0</v>
      </c>
      <c r="AP19" s="9"/>
      <c r="AQ19" s="8"/>
      <c r="AR19" s="214"/>
      <c r="AS19" s="11"/>
      <c r="AT19" s="11"/>
      <c r="AU19" s="11"/>
      <c r="AV19" s="11"/>
      <c r="AW19" s="11"/>
      <c r="AX19" s="11"/>
      <c r="AY19" s="11"/>
      <c r="AZ19" s="11"/>
      <c r="BA19" s="27">
        <f t="shared" si="11"/>
        <v>14</v>
      </c>
      <c r="BB19" s="120">
        <f t="shared" ca="1" si="12"/>
        <v>150379.15596327081</v>
      </c>
      <c r="BC19" s="1">
        <f t="shared" ca="1" si="13"/>
        <v>86840.215544563063</v>
      </c>
      <c r="BD19" s="30">
        <f t="shared" ca="1" si="13"/>
        <v>58319.629372189687</v>
      </c>
      <c r="BE19" s="2">
        <f t="shared" ca="1" si="13"/>
        <v>39599.531761297694</v>
      </c>
      <c r="BF19" s="27">
        <f t="shared" si="14"/>
        <v>39</v>
      </c>
      <c r="BG19" s="120">
        <f t="shared" ca="1" si="15"/>
        <v>150379.15596327081</v>
      </c>
      <c r="BH19" s="1">
        <f t="shared" si="16"/>
        <v>0</v>
      </c>
      <c r="BI19" s="30">
        <f t="shared" si="16"/>
        <v>0</v>
      </c>
      <c r="BJ19" s="2">
        <f t="shared" si="16"/>
        <v>0</v>
      </c>
      <c r="BK19" s="9"/>
      <c r="BL19" s="8"/>
      <c r="BM19" s="214"/>
      <c r="BN19" s="11"/>
      <c r="BO19" s="11"/>
      <c r="BP19" s="11"/>
      <c r="BQ19" s="11"/>
      <c r="BR19" s="11"/>
      <c r="BS19" s="11"/>
      <c r="BT19" s="11"/>
      <c r="BU19" s="11"/>
      <c r="BV19" s="27">
        <f t="shared" si="18"/>
        <v>14</v>
      </c>
      <c r="BW19" s="120">
        <f t="shared" si="19"/>
        <v>51278.303697539799</v>
      </c>
      <c r="BX19" s="1">
        <f t="shared" si="20"/>
        <v>29611.942674698505</v>
      </c>
      <c r="BY19" s="30">
        <f t="shared" si="20"/>
        <v>19886.610264028375</v>
      </c>
      <c r="BZ19" s="2">
        <f t="shared" si="20"/>
        <v>13503.180031361242</v>
      </c>
      <c r="CA19" s="27">
        <f t="shared" si="21"/>
        <v>39</v>
      </c>
      <c r="CB19" s="120">
        <f t="shared" si="22"/>
        <v>51278.303697539799</v>
      </c>
      <c r="CC19" s="1">
        <f t="shared" si="23"/>
        <v>0</v>
      </c>
      <c r="CD19" s="30">
        <f t="shared" si="23"/>
        <v>0</v>
      </c>
      <c r="CE19" s="2">
        <f t="shared" si="23"/>
        <v>0</v>
      </c>
      <c r="CF19" s="9"/>
      <c r="CG19" s="8"/>
      <c r="CH19" s="214"/>
      <c r="CI19" s="11"/>
      <c r="CJ19" s="11"/>
      <c r="CK19" s="11"/>
      <c r="CL19" s="11"/>
      <c r="CM19" s="11"/>
      <c r="CN19" s="11"/>
      <c r="CO19" s="11"/>
      <c r="CP19" s="11"/>
      <c r="CQ19" s="27">
        <f t="shared" si="24"/>
        <v>14</v>
      </c>
      <c r="CR19" s="120">
        <f t="shared" si="25"/>
        <v>12748.984293294741</v>
      </c>
      <c r="CS19" s="1">
        <f t="shared" si="26"/>
        <v>7362.2207606642814</v>
      </c>
      <c r="CT19" s="30">
        <f t="shared" si="26"/>
        <v>4944.275914398776</v>
      </c>
      <c r="CU19" s="2">
        <f t="shared" si="26"/>
        <v>3357.206025081814</v>
      </c>
      <c r="CV19" s="27">
        <f t="shared" si="27"/>
        <v>39</v>
      </c>
      <c r="CW19" s="120">
        <f t="shared" si="28"/>
        <v>12748.984293294741</v>
      </c>
      <c r="CX19" s="1">
        <f t="shared" si="29"/>
        <v>0</v>
      </c>
      <c r="CY19" s="30">
        <f t="shared" si="29"/>
        <v>0</v>
      </c>
      <c r="CZ19" s="2">
        <f t="shared" si="29"/>
        <v>0</v>
      </c>
      <c r="DA19" s="9"/>
    </row>
    <row r="20" spans="1:105" x14ac:dyDescent="0.3">
      <c r="A20" s="8"/>
      <c r="B20" s="11"/>
      <c r="C20" s="11"/>
      <c r="D20" s="11"/>
      <c r="E20" s="11"/>
      <c r="F20" s="11"/>
      <c r="G20" s="11"/>
      <c r="H20" s="11"/>
      <c r="I20" s="11"/>
      <c r="J20" s="11"/>
      <c r="K20" s="27">
        <v>15</v>
      </c>
      <c r="L20" s="120">
        <f t="shared" ca="1" si="31"/>
        <v>474847.65054547589</v>
      </c>
      <c r="M20" s="1">
        <f t="shared" ca="1" si="1"/>
        <v>263666.04454470053</v>
      </c>
      <c r="N20" s="30">
        <f t="shared" ca="1" si="1"/>
        <v>172106.6408767339</v>
      </c>
      <c r="O20" s="2">
        <f t="shared" ca="1" si="1"/>
        <v>113674.75220221381</v>
      </c>
      <c r="P20" s="27">
        <v>40</v>
      </c>
      <c r="Q20" s="120">
        <f t="shared" ca="1" si="2"/>
        <v>474847.65054547589</v>
      </c>
      <c r="R20" s="1">
        <f t="shared" si="3"/>
        <v>0</v>
      </c>
      <c r="S20" s="30">
        <f t="shared" si="3"/>
        <v>0</v>
      </c>
      <c r="T20" s="2">
        <f t="shared" si="3"/>
        <v>0</v>
      </c>
      <c r="U20" s="9"/>
      <c r="V20" s="8"/>
      <c r="W20" s="11"/>
      <c r="X20" s="11"/>
      <c r="Y20" s="11"/>
      <c r="Z20" s="11"/>
      <c r="AA20" s="11"/>
      <c r="AB20" s="11"/>
      <c r="AC20" s="11"/>
      <c r="AD20" s="11"/>
      <c r="AE20" s="11"/>
      <c r="AF20" s="27">
        <f t="shared" si="4"/>
        <v>15</v>
      </c>
      <c r="AG20" s="120">
        <f t="shared" ca="1" si="5"/>
        <v>260441.20659137049</v>
      </c>
      <c r="AH20" s="1">
        <f t="shared" ca="1" si="6"/>
        <v>144613.7570640026</v>
      </c>
      <c r="AI20" s="30">
        <f t="shared" ca="1" si="6"/>
        <v>94395.878679895715</v>
      </c>
      <c r="AJ20" s="2">
        <f t="shared" ca="1" si="6"/>
        <v>62347.55418608585</v>
      </c>
      <c r="AK20" s="27">
        <f t="shared" si="7"/>
        <v>40</v>
      </c>
      <c r="AL20" s="120">
        <f t="shared" ca="1" si="8"/>
        <v>260441.20659137049</v>
      </c>
      <c r="AM20" s="1">
        <f t="shared" si="9"/>
        <v>0</v>
      </c>
      <c r="AN20" s="30">
        <f t="shared" si="9"/>
        <v>0</v>
      </c>
      <c r="AO20" s="2">
        <f t="shared" si="9"/>
        <v>0</v>
      </c>
      <c r="AP20" s="9"/>
      <c r="AQ20" s="8"/>
      <c r="AR20" s="11"/>
      <c r="AS20" s="11"/>
      <c r="AT20" s="11"/>
      <c r="AU20" s="11"/>
      <c r="AV20" s="11"/>
      <c r="AW20" s="11"/>
      <c r="AX20" s="11"/>
      <c r="AY20" s="11"/>
      <c r="AZ20" s="11"/>
      <c r="BA20" s="27">
        <f t="shared" si="11"/>
        <v>15</v>
      </c>
      <c r="BB20" s="120">
        <f t="shared" ca="1" si="12"/>
        <v>150379.15596327081</v>
      </c>
      <c r="BC20" s="1">
        <f t="shared" ca="1" si="13"/>
        <v>83500.207254387555</v>
      </c>
      <c r="BD20" s="30">
        <f t="shared" ca="1" si="13"/>
        <v>54504.326516065121</v>
      </c>
      <c r="BE20" s="2">
        <f t="shared" ca="1" si="13"/>
        <v>35999.574328452451</v>
      </c>
      <c r="BF20" s="27">
        <f t="shared" si="14"/>
        <v>40</v>
      </c>
      <c r="BG20" s="120">
        <f t="shared" ca="1" si="15"/>
        <v>150379.15596327081</v>
      </c>
      <c r="BH20" s="1">
        <f t="shared" si="16"/>
        <v>0</v>
      </c>
      <c r="BI20" s="30">
        <f t="shared" si="16"/>
        <v>0</v>
      </c>
      <c r="BJ20" s="2">
        <f t="shared" si="16"/>
        <v>0</v>
      </c>
      <c r="BK20" s="9"/>
      <c r="BL20" s="8"/>
      <c r="BM20" s="11"/>
      <c r="BN20" s="11"/>
      <c r="BO20" s="11"/>
      <c r="BP20" s="11"/>
      <c r="BQ20" s="11"/>
      <c r="BR20" s="11"/>
      <c r="BS20" s="11"/>
      <c r="BT20" s="11"/>
      <c r="BU20" s="11"/>
      <c r="BV20" s="27">
        <f t="shared" si="18"/>
        <v>15</v>
      </c>
      <c r="BW20" s="120">
        <f t="shared" si="19"/>
        <v>51278.303697539799</v>
      </c>
      <c r="BX20" s="1">
        <f t="shared" si="20"/>
        <v>28473.021802594718</v>
      </c>
      <c r="BY20" s="30">
        <f t="shared" si="20"/>
        <v>18585.617069185395</v>
      </c>
      <c r="BZ20" s="2">
        <f t="shared" si="20"/>
        <v>12275.618210328401</v>
      </c>
      <c r="CA20" s="27">
        <f t="shared" si="21"/>
        <v>40</v>
      </c>
      <c r="CB20" s="120">
        <f t="shared" si="22"/>
        <v>51278.303697539799</v>
      </c>
      <c r="CC20" s="1">
        <f t="shared" si="23"/>
        <v>0</v>
      </c>
      <c r="CD20" s="30">
        <f t="shared" si="23"/>
        <v>0</v>
      </c>
      <c r="CE20" s="2">
        <f t="shared" si="23"/>
        <v>0</v>
      </c>
      <c r="CF20" s="9"/>
      <c r="CG20" s="8"/>
      <c r="CH20" s="11"/>
      <c r="CI20" s="11"/>
      <c r="CJ20" s="11"/>
      <c r="CK20" s="11"/>
      <c r="CL20" s="11"/>
      <c r="CM20" s="11"/>
      <c r="CN20" s="11"/>
      <c r="CO20" s="11"/>
      <c r="CP20" s="11"/>
      <c r="CQ20" s="27">
        <f t="shared" si="24"/>
        <v>15</v>
      </c>
      <c r="CR20" s="120">
        <f t="shared" si="25"/>
        <v>12748.984293294741</v>
      </c>
      <c r="CS20" s="1">
        <f t="shared" si="26"/>
        <v>7079.0584237156554</v>
      </c>
      <c r="CT20" s="30">
        <f t="shared" si="26"/>
        <v>4620.8186115876406</v>
      </c>
      <c r="CU20" s="2">
        <f t="shared" si="26"/>
        <v>3052.0054773471034</v>
      </c>
      <c r="CV20" s="27">
        <f t="shared" si="27"/>
        <v>40</v>
      </c>
      <c r="CW20" s="120">
        <f t="shared" si="28"/>
        <v>12748.984293294741</v>
      </c>
      <c r="CX20" s="1">
        <f t="shared" si="29"/>
        <v>0</v>
      </c>
      <c r="CY20" s="30">
        <f t="shared" si="29"/>
        <v>0</v>
      </c>
      <c r="CZ20" s="2">
        <f t="shared" si="29"/>
        <v>0</v>
      </c>
      <c r="DA20" s="9"/>
    </row>
    <row r="21" spans="1:105" x14ac:dyDescent="0.3">
      <c r="A21" s="8"/>
      <c r="B21" s="11"/>
      <c r="C21" s="11"/>
      <c r="D21" s="11"/>
      <c r="E21" s="11"/>
      <c r="F21" s="11"/>
      <c r="G21" s="11"/>
      <c r="H21" s="11"/>
      <c r="I21" s="11"/>
      <c r="J21" s="11"/>
      <c r="K21" s="27">
        <v>16</v>
      </c>
      <c r="L21" s="120">
        <f t="shared" ca="1" si="31"/>
        <v>474847.65054547589</v>
      </c>
      <c r="M21" s="1">
        <f t="shared" ca="1" si="1"/>
        <v>253525.04283144281</v>
      </c>
      <c r="N21" s="30">
        <f t="shared" ca="1" si="1"/>
        <v>160847.32792218123</v>
      </c>
      <c r="O21" s="2">
        <f t="shared" ca="1" si="1"/>
        <v>103340.68382019438</v>
      </c>
      <c r="P21" s="27">
        <v>41</v>
      </c>
      <c r="Q21" s="120">
        <f t="shared" ca="1" si="2"/>
        <v>474847.65054547589</v>
      </c>
      <c r="R21" s="1">
        <f t="shared" si="3"/>
        <v>0</v>
      </c>
      <c r="S21" s="30">
        <f t="shared" si="3"/>
        <v>0</v>
      </c>
      <c r="T21" s="2">
        <f t="shared" si="3"/>
        <v>0</v>
      </c>
      <c r="U21" s="9"/>
      <c r="V21" s="8"/>
      <c r="W21" s="11"/>
      <c r="X21" s="11"/>
      <c r="Y21" s="11"/>
      <c r="Z21" s="11"/>
      <c r="AA21" s="11"/>
      <c r="AB21" s="11"/>
      <c r="AC21" s="11"/>
      <c r="AD21" s="11"/>
      <c r="AE21" s="11"/>
      <c r="AF21" s="27">
        <f t="shared" si="4"/>
        <v>16</v>
      </c>
      <c r="AG21" s="120">
        <f t="shared" ca="1" si="5"/>
        <v>260441.20659137049</v>
      </c>
      <c r="AH21" s="1">
        <f t="shared" ca="1" si="6"/>
        <v>139051.68948461788</v>
      </c>
      <c r="AI21" s="30">
        <f t="shared" ca="1" si="6"/>
        <v>88220.447364388529</v>
      </c>
      <c r="AJ21" s="2">
        <f t="shared" ca="1" si="6"/>
        <v>56679.594714623498</v>
      </c>
      <c r="AK21" s="27">
        <f t="shared" si="7"/>
        <v>41</v>
      </c>
      <c r="AL21" s="120">
        <f t="shared" ca="1" si="8"/>
        <v>260441.20659137049</v>
      </c>
      <c r="AM21" s="1">
        <f t="shared" si="9"/>
        <v>0</v>
      </c>
      <c r="AN21" s="30">
        <f t="shared" si="9"/>
        <v>0</v>
      </c>
      <c r="AO21" s="2">
        <f t="shared" si="9"/>
        <v>0</v>
      </c>
      <c r="AP21" s="9"/>
      <c r="AQ21" s="8"/>
      <c r="AR21" s="11"/>
      <c r="AS21" s="11"/>
      <c r="AT21" s="11"/>
      <c r="AU21" s="11"/>
      <c r="AV21" s="11"/>
      <c r="AW21" s="11"/>
      <c r="AX21" s="11"/>
      <c r="AY21" s="11"/>
      <c r="AZ21" s="11"/>
      <c r="BA21" s="27">
        <f t="shared" si="11"/>
        <v>16</v>
      </c>
      <c r="BB21" s="120">
        <f t="shared" ca="1" si="12"/>
        <v>150379.15596327081</v>
      </c>
      <c r="BC21" s="1">
        <f t="shared" ca="1" si="13"/>
        <v>80288.660821526486</v>
      </c>
      <c r="BD21" s="30">
        <f t="shared" ca="1" si="13"/>
        <v>50938.622912210398</v>
      </c>
      <c r="BE21" s="2">
        <f t="shared" ca="1" si="13"/>
        <v>32726.885753138587</v>
      </c>
      <c r="BF21" s="27">
        <f t="shared" si="14"/>
        <v>41</v>
      </c>
      <c r="BG21" s="120">
        <f t="shared" ca="1" si="15"/>
        <v>150379.15596327081</v>
      </c>
      <c r="BH21" s="1">
        <f t="shared" si="16"/>
        <v>0</v>
      </c>
      <c r="BI21" s="30">
        <f t="shared" si="16"/>
        <v>0</v>
      </c>
      <c r="BJ21" s="2">
        <f t="shared" si="16"/>
        <v>0</v>
      </c>
      <c r="BK21" s="9"/>
      <c r="BL21" s="8"/>
      <c r="BM21" s="11"/>
      <c r="BN21" s="11"/>
      <c r="BO21" s="11"/>
      <c r="BP21" s="11"/>
      <c r="BQ21" s="11"/>
      <c r="BR21" s="11"/>
      <c r="BS21" s="11"/>
      <c r="BT21" s="11"/>
      <c r="BU21" s="11"/>
      <c r="BV21" s="27">
        <f t="shared" si="18"/>
        <v>16</v>
      </c>
      <c r="BW21" s="120">
        <f t="shared" si="19"/>
        <v>51278.303697539799</v>
      </c>
      <c r="BX21" s="1">
        <f t="shared" si="20"/>
        <v>27377.905579417991</v>
      </c>
      <c r="BY21" s="30">
        <f t="shared" si="20"/>
        <v>17369.735578677941</v>
      </c>
      <c r="BZ21" s="2">
        <f t="shared" si="20"/>
        <v>11159.652918480364</v>
      </c>
      <c r="CA21" s="27">
        <f t="shared" si="21"/>
        <v>41</v>
      </c>
      <c r="CB21" s="120">
        <f t="shared" si="22"/>
        <v>51278.303697539799</v>
      </c>
      <c r="CC21" s="1">
        <f t="shared" si="23"/>
        <v>0</v>
      </c>
      <c r="CD21" s="30">
        <f t="shared" si="23"/>
        <v>0</v>
      </c>
      <c r="CE21" s="2">
        <f t="shared" si="23"/>
        <v>0</v>
      </c>
      <c r="CF21" s="9"/>
      <c r="CG21" s="8"/>
      <c r="CH21" s="11"/>
      <c r="CI21" s="11"/>
      <c r="CJ21" s="11"/>
      <c r="CK21" s="11"/>
      <c r="CL21" s="11"/>
      <c r="CM21" s="11"/>
      <c r="CN21" s="11"/>
      <c r="CO21" s="11"/>
      <c r="CP21" s="11"/>
      <c r="CQ21" s="27">
        <f t="shared" si="24"/>
        <v>16</v>
      </c>
      <c r="CR21" s="120">
        <f t="shared" si="25"/>
        <v>12748.984293294741</v>
      </c>
      <c r="CS21" s="1">
        <f t="shared" si="26"/>
        <v>6806.7869458804371</v>
      </c>
      <c r="CT21" s="30">
        <f t="shared" si="26"/>
        <v>4318.5220669043374</v>
      </c>
      <c r="CU21" s="2">
        <f t="shared" si="26"/>
        <v>2774.5504339519121</v>
      </c>
      <c r="CV21" s="27">
        <f t="shared" si="27"/>
        <v>41</v>
      </c>
      <c r="CW21" s="120">
        <f t="shared" si="28"/>
        <v>12748.984293294741</v>
      </c>
      <c r="CX21" s="1">
        <f t="shared" si="29"/>
        <v>0</v>
      </c>
      <c r="CY21" s="30">
        <f t="shared" si="29"/>
        <v>0</v>
      </c>
      <c r="CZ21" s="2">
        <f t="shared" si="29"/>
        <v>0</v>
      </c>
      <c r="DA21" s="9"/>
    </row>
    <row r="22" spans="1:105" x14ac:dyDescent="0.3">
      <c r="A22" s="8"/>
      <c r="B22" s="11"/>
      <c r="C22" s="11"/>
      <c r="D22" s="11"/>
      <c r="E22" s="11"/>
      <c r="F22" s="11"/>
      <c r="G22" s="11"/>
      <c r="H22" s="11"/>
      <c r="I22" s="11"/>
      <c r="J22" s="11"/>
      <c r="K22" s="27">
        <v>17</v>
      </c>
      <c r="L22" s="120">
        <f t="shared" ca="1" si="31"/>
        <v>474847.65054547589</v>
      </c>
      <c r="M22" s="1">
        <f t="shared" ca="1" si="1"/>
        <v>243774.07964561807</v>
      </c>
      <c r="N22" s="30">
        <f t="shared" ca="1" si="1"/>
        <v>150324.60553474881</v>
      </c>
      <c r="O22" s="2">
        <f t="shared" ca="1" si="1"/>
        <v>93946.0762001767</v>
      </c>
      <c r="P22" s="27">
        <v>42</v>
      </c>
      <c r="Q22" s="120">
        <f t="shared" ca="1" si="2"/>
        <v>474847.65054547589</v>
      </c>
      <c r="R22" s="1">
        <f t="shared" si="3"/>
        <v>0</v>
      </c>
      <c r="S22" s="30">
        <f t="shared" si="3"/>
        <v>0</v>
      </c>
      <c r="T22" s="2">
        <f t="shared" si="3"/>
        <v>0</v>
      </c>
      <c r="U22" s="9"/>
      <c r="V22" s="8"/>
      <c r="W22" s="11"/>
      <c r="X22" s="11"/>
      <c r="Y22" s="11"/>
      <c r="Z22" s="11"/>
      <c r="AA22" s="11"/>
      <c r="AB22" s="11"/>
      <c r="AC22" s="11"/>
      <c r="AD22" s="11"/>
      <c r="AE22" s="11"/>
      <c r="AF22" s="27">
        <f t="shared" si="4"/>
        <v>17</v>
      </c>
      <c r="AG22" s="120">
        <f t="shared" ca="1" si="5"/>
        <v>260441.20659137049</v>
      </c>
      <c r="AH22" s="1">
        <f t="shared" ca="1" si="6"/>
        <v>133703.54758136332</v>
      </c>
      <c r="AI22" s="30">
        <f t="shared" ca="1" si="6"/>
        <v>82449.016228400505</v>
      </c>
      <c r="AJ22" s="2">
        <f t="shared" ca="1" si="6"/>
        <v>51526.904286021359</v>
      </c>
      <c r="AK22" s="27">
        <f t="shared" si="7"/>
        <v>42</v>
      </c>
      <c r="AL22" s="120">
        <f t="shared" ca="1" si="8"/>
        <v>260441.20659137049</v>
      </c>
      <c r="AM22" s="1">
        <f t="shared" si="9"/>
        <v>0</v>
      </c>
      <c r="AN22" s="30">
        <f t="shared" si="9"/>
        <v>0</v>
      </c>
      <c r="AO22" s="2">
        <f t="shared" si="9"/>
        <v>0</v>
      </c>
      <c r="AP22" s="9"/>
      <c r="AQ22" s="8"/>
      <c r="AR22" s="11"/>
      <c r="AS22" s="11"/>
      <c r="AT22" s="11"/>
      <c r="AU22" s="11"/>
      <c r="AV22" s="11"/>
      <c r="AW22" s="11"/>
      <c r="AX22" s="11"/>
      <c r="AY22" s="11"/>
      <c r="AZ22" s="11"/>
      <c r="BA22" s="27">
        <f t="shared" si="11"/>
        <v>17</v>
      </c>
      <c r="BB22" s="120">
        <f t="shared" ca="1" si="12"/>
        <v>150379.15596327081</v>
      </c>
      <c r="BC22" s="1">
        <f t="shared" ca="1" si="13"/>
        <v>77200.635405313922</v>
      </c>
      <c r="BD22" s="30">
        <f t="shared" ca="1" si="13"/>
        <v>47606.18963757981</v>
      </c>
      <c r="BE22" s="2">
        <f t="shared" ca="1" si="13"/>
        <v>29751.714321035081</v>
      </c>
      <c r="BF22" s="27">
        <f t="shared" si="14"/>
        <v>42</v>
      </c>
      <c r="BG22" s="120">
        <f t="shared" ca="1" si="15"/>
        <v>150379.15596327081</v>
      </c>
      <c r="BH22" s="1">
        <f t="shared" si="16"/>
        <v>0</v>
      </c>
      <c r="BI22" s="30">
        <f t="shared" si="16"/>
        <v>0</v>
      </c>
      <c r="BJ22" s="2">
        <f t="shared" si="16"/>
        <v>0</v>
      </c>
      <c r="BK22" s="9"/>
      <c r="BL22" s="8"/>
      <c r="BM22" s="11"/>
      <c r="BN22" s="11"/>
      <c r="BO22" s="11"/>
      <c r="BP22" s="11"/>
      <c r="BQ22" s="11"/>
      <c r="BR22" s="11"/>
      <c r="BS22" s="11"/>
      <c r="BT22" s="11"/>
      <c r="BU22" s="11"/>
      <c r="BV22" s="27">
        <f t="shared" si="18"/>
        <v>17</v>
      </c>
      <c r="BW22" s="120">
        <f t="shared" si="19"/>
        <v>51278.303697539799</v>
      </c>
      <c r="BX22" s="1">
        <f t="shared" si="20"/>
        <v>26324.90921097884</v>
      </c>
      <c r="BY22" s="30">
        <f t="shared" si="20"/>
        <v>16233.397737082189</v>
      </c>
      <c r="BZ22" s="2">
        <f t="shared" si="20"/>
        <v>10145.139016800331</v>
      </c>
      <c r="CA22" s="27">
        <f t="shared" si="21"/>
        <v>42</v>
      </c>
      <c r="CB22" s="120">
        <f t="shared" si="22"/>
        <v>51278.303697539799</v>
      </c>
      <c r="CC22" s="1">
        <f t="shared" si="23"/>
        <v>0</v>
      </c>
      <c r="CD22" s="30">
        <f t="shared" si="23"/>
        <v>0</v>
      </c>
      <c r="CE22" s="2">
        <f t="shared" si="23"/>
        <v>0</v>
      </c>
      <c r="CF22" s="9"/>
      <c r="CG22" s="8"/>
      <c r="CH22" s="11"/>
      <c r="CI22" s="11"/>
      <c r="CJ22" s="11"/>
      <c r="CK22" s="11"/>
      <c r="CL22" s="11"/>
      <c r="CM22" s="11"/>
      <c r="CN22" s="11"/>
      <c r="CO22" s="11"/>
      <c r="CP22" s="11"/>
      <c r="CQ22" s="27">
        <f t="shared" si="24"/>
        <v>17</v>
      </c>
      <c r="CR22" s="120">
        <f t="shared" si="25"/>
        <v>12748.984293294741</v>
      </c>
      <c r="CS22" s="1">
        <f t="shared" si="26"/>
        <v>6544.9874479619584</v>
      </c>
      <c r="CT22" s="30">
        <f t="shared" si="26"/>
        <v>4036.0019316862968</v>
      </c>
      <c r="CU22" s="2">
        <f t="shared" si="26"/>
        <v>2522.3185763199199</v>
      </c>
      <c r="CV22" s="27">
        <f t="shared" si="27"/>
        <v>42</v>
      </c>
      <c r="CW22" s="120">
        <f t="shared" si="28"/>
        <v>12748.984293294741</v>
      </c>
      <c r="CX22" s="1">
        <f t="shared" si="29"/>
        <v>0</v>
      </c>
      <c r="CY22" s="30">
        <f t="shared" si="29"/>
        <v>0</v>
      </c>
      <c r="CZ22" s="2">
        <f t="shared" si="29"/>
        <v>0</v>
      </c>
      <c r="DA22" s="9"/>
    </row>
    <row r="23" spans="1:105" x14ac:dyDescent="0.3">
      <c r="A23" s="8"/>
      <c r="B23" s="11"/>
      <c r="C23" s="11"/>
      <c r="D23" s="11"/>
      <c r="E23" s="11"/>
      <c r="F23" s="11"/>
      <c r="G23" s="11"/>
      <c r="H23" s="11"/>
      <c r="I23" s="11"/>
      <c r="J23" s="11"/>
      <c r="K23" s="27">
        <v>18</v>
      </c>
      <c r="L23" s="120">
        <f t="shared" ca="1" si="31"/>
        <v>474847.65054547589</v>
      </c>
      <c r="M23" s="1">
        <f t="shared" ca="1" si="1"/>
        <v>234398.15350540198</v>
      </c>
      <c r="N23" s="30">
        <f t="shared" ca="1" si="1"/>
        <v>140490.28554649421</v>
      </c>
      <c r="O23" s="2">
        <f t="shared" ca="1" si="1"/>
        <v>85405.523818342452</v>
      </c>
      <c r="P23" s="27">
        <v>43</v>
      </c>
      <c r="Q23" s="120">
        <f t="shared" ca="1" si="2"/>
        <v>474847.65054547589</v>
      </c>
      <c r="R23" s="1">
        <f t="shared" si="3"/>
        <v>0</v>
      </c>
      <c r="S23" s="30">
        <f t="shared" si="3"/>
        <v>0</v>
      </c>
      <c r="T23" s="2">
        <f t="shared" si="3"/>
        <v>0</v>
      </c>
      <c r="U23" s="9"/>
      <c r="V23" s="8"/>
      <c r="W23" s="11"/>
      <c r="X23" s="11"/>
      <c r="Y23" s="11"/>
      <c r="Z23" s="11"/>
      <c r="AA23" s="11"/>
      <c r="AB23" s="11"/>
      <c r="AC23" s="11"/>
      <c r="AD23" s="11"/>
      <c r="AE23" s="11"/>
      <c r="AF23" s="27">
        <f t="shared" si="4"/>
        <v>18</v>
      </c>
      <c r="AG23" s="120">
        <f t="shared" ca="1" si="5"/>
        <v>260441.20659137049</v>
      </c>
      <c r="AH23" s="1">
        <f t="shared" ca="1" si="6"/>
        <v>128561.10344361857</v>
      </c>
      <c r="AI23" s="30">
        <f t="shared" ca="1" si="6"/>
        <v>77055.155353645328</v>
      </c>
      <c r="AJ23" s="2">
        <f t="shared" ca="1" si="6"/>
        <v>46842.640260019412</v>
      </c>
      <c r="AK23" s="27">
        <f t="shared" si="7"/>
        <v>43</v>
      </c>
      <c r="AL23" s="120">
        <f t="shared" ca="1" si="8"/>
        <v>260441.20659137049</v>
      </c>
      <c r="AM23" s="1">
        <f t="shared" si="9"/>
        <v>0</v>
      </c>
      <c r="AN23" s="30">
        <f t="shared" si="9"/>
        <v>0</v>
      </c>
      <c r="AO23" s="2">
        <f t="shared" si="9"/>
        <v>0</v>
      </c>
      <c r="AP23" s="9"/>
      <c r="AQ23" s="8"/>
      <c r="AR23" s="11"/>
      <c r="AS23" s="11"/>
      <c r="AT23" s="11"/>
      <c r="AU23" s="11"/>
      <c r="AV23" s="11"/>
      <c r="AW23" s="11"/>
      <c r="AX23" s="11"/>
      <c r="AY23" s="11"/>
      <c r="AZ23" s="11"/>
      <c r="BA23" s="27">
        <f t="shared" si="11"/>
        <v>18</v>
      </c>
      <c r="BB23" s="120">
        <f t="shared" ca="1" si="12"/>
        <v>150379.15596327081</v>
      </c>
      <c r="BC23" s="1">
        <f t="shared" ca="1" si="13"/>
        <v>74231.380197417224</v>
      </c>
      <c r="BD23" s="30">
        <f t="shared" ca="1" si="13"/>
        <v>44491.766016429727</v>
      </c>
      <c r="BE23" s="2">
        <f t="shared" ca="1" si="13"/>
        <v>27047.013019122798</v>
      </c>
      <c r="BF23" s="27">
        <f t="shared" si="14"/>
        <v>43</v>
      </c>
      <c r="BG23" s="120">
        <f t="shared" ca="1" si="15"/>
        <v>150379.15596327081</v>
      </c>
      <c r="BH23" s="1">
        <f t="shared" si="16"/>
        <v>0</v>
      </c>
      <c r="BI23" s="30">
        <f t="shared" si="16"/>
        <v>0</v>
      </c>
      <c r="BJ23" s="2">
        <f t="shared" si="16"/>
        <v>0</v>
      </c>
      <c r="BK23" s="9"/>
      <c r="BL23" s="8"/>
      <c r="BM23" s="11"/>
      <c r="BN23" s="11"/>
      <c r="BO23" s="11"/>
      <c r="BP23" s="11"/>
      <c r="BQ23" s="11"/>
      <c r="BR23" s="11"/>
      <c r="BS23" s="11"/>
      <c r="BT23" s="11"/>
      <c r="BU23" s="11"/>
      <c r="BV23" s="27">
        <f t="shared" si="18"/>
        <v>18</v>
      </c>
      <c r="BW23" s="120">
        <f t="shared" si="19"/>
        <v>51278.303697539799</v>
      </c>
      <c r="BX23" s="1">
        <f t="shared" si="20"/>
        <v>25312.412702864265</v>
      </c>
      <c r="BY23" s="30">
        <f t="shared" si="20"/>
        <v>15171.399754282418</v>
      </c>
      <c r="BZ23" s="2">
        <f t="shared" si="20"/>
        <v>9222.8536516366639</v>
      </c>
      <c r="CA23" s="27">
        <f t="shared" si="21"/>
        <v>43</v>
      </c>
      <c r="CB23" s="120">
        <f t="shared" si="22"/>
        <v>51278.303697539799</v>
      </c>
      <c r="CC23" s="1">
        <f t="shared" si="23"/>
        <v>0</v>
      </c>
      <c r="CD23" s="30">
        <f t="shared" si="23"/>
        <v>0</v>
      </c>
      <c r="CE23" s="2">
        <f t="shared" si="23"/>
        <v>0</v>
      </c>
      <c r="CF23" s="9"/>
      <c r="CG23" s="8"/>
      <c r="CH23" s="11"/>
      <c r="CI23" s="11"/>
      <c r="CJ23" s="11"/>
      <c r="CK23" s="11"/>
      <c r="CL23" s="11"/>
      <c r="CM23" s="11"/>
      <c r="CN23" s="11"/>
      <c r="CO23" s="11"/>
      <c r="CP23" s="11"/>
      <c r="CQ23" s="27">
        <f t="shared" si="24"/>
        <v>18</v>
      </c>
      <c r="CR23" s="120">
        <f t="shared" si="25"/>
        <v>12748.984293294741</v>
      </c>
      <c r="CS23" s="1">
        <f t="shared" si="26"/>
        <v>6293.2571615018824</v>
      </c>
      <c r="CT23" s="30">
        <f t="shared" si="26"/>
        <v>3771.9644221367262</v>
      </c>
      <c r="CU23" s="2">
        <f t="shared" si="26"/>
        <v>2293.0168875635636</v>
      </c>
      <c r="CV23" s="27">
        <f t="shared" si="27"/>
        <v>43</v>
      </c>
      <c r="CW23" s="120">
        <f t="shared" si="28"/>
        <v>12748.984293294741</v>
      </c>
      <c r="CX23" s="1">
        <f t="shared" si="29"/>
        <v>0</v>
      </c>
      <c r="CY23" s="30">
        <f t="shared" si="29"/>
        <v>0</v>
      </c>
      <c r="CZ23" s="2">
        <f t="shared" si="29"/>
        <v>0</v>
      </c>
      <c r="DA23" s="9"/>
    </row>
    <row r="24" spans="1:105" x14ac:dyDescent="0.3">
      <c r="A24" s="8"/>
      <c r="B24" s="11"/>
      <c r="C24" s="11"/>
      <c r="D24" s="11"/>
      <c r="E24" s="11"/>
      <c r="F24" s="11"/>
      <c r="G24" s="11"/>
      <c r="H24" s="11"/>
      <c r="I24" s="11"/>
      <c r="J24" s="11"/>
      <c r="K24" s="27">
        <v>19</v>
      </c>
      <c r="L24" s="120">
        <f t="shared" ca="1" si="31"/>
        <v>474847.65054547589</v>
      </c>
      <c r="M24" s="1">
        <f t="shared" ca="1" si="1"/>
        <v>225382.83990904037</v>
      </c>
      <c r="N24" s="30">
        <f t="shared" ca="1" si="1"/>
        <v>131299.33228644318</v>
      </c>
      <c r="O24" s="2">
        <f t="shared" ca="1" si="1"/>
        <v>77641.385289402213</v>
      </c>
      <c r="P24" s="27">
        <v>44</v>
      </c>
      <c r="Q24" s="120">
        <f t="shared" ca="1" si="2"/>
        <v>474847.65054547589</v>
      </c>
      <c r="R24" s="1">
        <f t="shared" si="3"/>
        <v>0</v>
      </c>
      <c r="S24" s="30">
        <f t="shared" si="3"/>
        <v>0</v>
      </c>
      <c r="T24" s="2">
        <f t="shared" si="3"/>
        <v>0</v>
      </c>
      <c r="U24" s="9"/>
      <c r="V24" s="8"/>
      <c r="W24" s="11"/>
      <c r="X24" s="11"/>
      <c r="Y24" s="11"/>
      <c r="Z24" s="11"/>
      <c r="AA24" s="11"/>
      <c r="AB24" s="11"/>
      <c r="AC24" s="11"/>
      <c r="AD24" s="11"/>
      <c r="AE24" s="11"/>
      <c r="AF24" s="27">
        <f t="shared" si="4"/>
        <v>19</v>
      </c>
      <c r="AG24" s="120">
        <f t="shared" ca="1" si="5"/>
        <v>260441.20659137049</v>
      </c>
      <c r="AH24" s="1">
        <f t="shared" ca="1" si="6"/>
        <v>123616.445618864</v>
      </c>
      <c r="AI24" s="30">
        <f t="shared" ca="1" si="6"/>
        <v>72014.163881911518</v>
      </c>
      <c r="AJ24" s="2">
        <f t="shared" ca="1" si="6"/>
        <v>42584.21841819946</v>
      </c>
      <c r="AK24" s="27">
        <f t="shared" si="7"/>
        <v>44</v>
      </c>
      <c r="AL24" s="120">
        <f t="shared" ca="1" si="8"/>
        <v>260441.20659137049</v>
      </c>
      <c r="AM24" s="1">
        <f t="shared" si="9"/>
        <v>0</v>
      </c>
      <c r="AN24" s="30">
        <f t="shared" si="9"/>
        <v>0</v>
      </c>
      <c r="AO24" s="2">
        <f t="shared" si="9"/>
        <v>0</v>
      </c>
      <c r="AP24" s="9"/>
      <c r="AQ24" s="8"/>
      <c r="AR24" s="11"/>
      <c r="AS24" s="11"/>
      <c r="AT24" s="11"/>
      <c r="AU24" s="11"/>
      <c r="AV24" s="11"/>
      <c r="AW24" s="11"/>
      <c r="AX24" s="11"/>
      <c r="AY24" s="11"/>
      <c r="AZ24" s="11"/>
      <c r="BA24" s="27">
        <f t="shared" si="11"/>
        <v>19</v>
      </c>
      <c r="BB24" s="120">
        <f t="shared" ca="1" si="12"/>
        <v>150379.15596327081</v>
      </c>
      <c r="BC24" s="1">
        <f t="shared" ca="1" si="13"/>
        <v>71376.327112901185</v>
      </c>
      <c r="BD24" s="30">
        <f t="shared" ca="1" si="13"/>
        <v>41581.089734981055</v>
      </c>
      <c r="BE24" s="2">
        <f t="shared" ca="1" si="13"/>
        <v>24588.193653747992</v>
      </c>
      <c r="BF24" s="27">
        <f t="shared" si="14"/>
        <v>44</v>
      </c>
      <c r="BG24" s="120">
        <f t="shared" ca="1" si="15"/>
        <v>150379.15596327081</v>
      </c>
      <c r="BH24" s="1">
        <f t="shared" si="16"/>
        <v>0</v>
      </c>
      <c r="BI24" s="30">
        <f t="shared" si="16"/>
        <v>0</v>
      </c>
      <c r="BJ24" s="2">
        <f t="shared" si="16"/>
        <v>0</v>
      </c>
      <c r="BK24" s="9"/>
      <c r="BL24" s="8"/>
      <c r="BM24" s="11"/>
      <c r="BN24" s="11"/>
      <c r="BO24" s="11"/>
      <c r="BP24" s="11"/>
      <c r="BQ24" s="11"/>
      <c r="BR24" s="11"/>
      <c r="BS24" s="11"/>
      <c r="BT24" s="11"/>
      <c r="BU24" s="11"/>
      <c r="BV24" s="27">
        <f t="shared" si="18"/>
        <v>19</v>
      </c>
      <c r="BW24" s="120">
        <f t="shared" si="19"/>
        <v>51278.303697539799</v>
      </c>
      <c r="BX24" s="1">
        <f t="shared" si="20"/>
        <v>24338.858368138717</v>
      </c>
      <c r="BY24" s="30">
        <f t="shared" si="20"/>
        <v>14178.878275030296</v>
      </c>
      <c r="BZ24" s="2">
        <f t="shared" si="20"/>
        <v>8384.4124105787832</v>
      </c>
      <c r="CA24" s="27">
        <f t="shared" si="21"/>
        <v>44</v>
      </c>
      <c r="CB24" s="120">
        <f t="shared" si="22"/>
        <v>51278.303697539799</v>
      </c>
      <c r="CC24" s="1">
        <f t="shared" si="23"/>
        <v>0</v>
      </c>
      <c r="CD24" s="30">
        <f t="shared" si="23"/>
        <v>0</v>
      </c>
      <c r="CE24" s="2">
        <f t="shared" si="23"/>
        <v>0</v>
      </c>
      <c r="CF24" s="9"/>
      <c r="CG24" s="8"/>
      <c r="CH24" s="11"/>
      <c r="CI24" s="11"/>
      <c r="CJ24" s="11"/>
      <c r="CK24" s="11"/>
      <c r="CL24" s="11"/>
      <c r="CM24" s="11"/>
      <c r="CN24" s="11"/>
      <c r="CO24" s="11"/>
      <c r="CP24" s="11"/>
      <c r="CQ24" s="27">
        <f t="shared" si="24"/>
        <v>19</v>
      </c>
      <c r="CR24" s="120">
        <f t="shared" si="25"/>
        <v>12748.984293294741</v>
      </c>
      <c r="CS24" s="1">
        <f t="shared" si="26"/>
        <v>6051.2088091364258</v>
      </c>
      <c r="CT24" s="30">
        <f t="shared" si="26"/>
        <v>3525.2003945203046</v>
      </c>
      <c r="CU24" s="2">
        <f t="shared" si="26"/>
        <v>2084.5608068759661</v>
      </c>
      <c r="CV24" s="27">
        <f t="shared" si="27"/>
        <v>44</v>
      </c>
      <c r="CW24" s="120">
        <f t="shared" si="28"/>
        <v>12748.984293294741</v>
      </c>
      <c r="CX24" s="1">
        <f t="shared" si="29"/>
        <v>0</v>
      </c>
      <c r="CY24" s="30">
        <f t="shared" si="29"/>
        <v>0</v>
      </c>
      <c r="CZ24" s="2">
        <f t="shared" si="29"/>
        <v>0</v>
      </c>
      <c r="DA24" s="9"/>
    </row>
    <row r="25" spans="1:105" x14ac:dyDescent="0.3">
      <c r="A25" s="8"/>
      <c r="B25" s="11"/>
      <c r="C25" s="11"/>
      <c r="D25" s="11"/>
      <c r="E25" s="11"/>
      <c r="F25" s="11"/>
      <c r="G25" s="11"/>
      <c r="H25" s="11"/>
      <c r="I25" s="11"/>
      <c r="J25" s="11"/>
      <c r="K25" s="27">
        <v>20</v>
      </c>
      <c r="L25" s="120">
        <f t="shared" ca="1" si="31"/>
        <v>474847.65054547589</v>
      </c>
      <c r="M25" s="1">
        <f t="shared" ca="1" si="1"/>
        <v>216714.26914330805</v>
      </c>
      <c r="N25" s="30">
        <f t="shared" ca="1" si="1"/>
        <v>122709.65634247028</v>
      </c>
      <c r="O25" s="2">
        <f t="shared" ca="1" si="1"/>
        <v>70583.077535820194</v>
      </c>
      <c r="P25" s="27">
        <v>45</v>
      </c>
      <c r="Q25" s="120">
        <f t="shared" ca="1" si="2"/>
        <v>474847.65054547589</v>
      </c>
      <c r="R25" s="1">
        <f t="shared" si="3"/>
        <v>0</v>
      </c>
      <c r="S25" s="30">
        <f t="shared" si="3"/>
        <v>0</v>
      </c>
      <c r="T25" s="2">
        <f t="shared" si="3"/>
        <v>0</v>
      </c>
      <c r="U25" s="9"/>
      <c r="V25" s="8"/>
      <c r="W25" s="11"/>
      <c r="X25" s="11"/>
      <c r="Y25" s="11"/>
      <c r="Z25" s="11"/>
      <c r="AA25" s="11"/>
      <c r="AB25" s="11"/>
      <c r="AC25" s="11"/>
      <c r="AD25" s="11"/>
      <c r="AE25" s="11"/>
      <c r="AF25" s="27">
        <f t="shared" si="4"/>
        <v>20</v>
      </c>
      <c r="AG25" s="120">
        <f t="shared" ca="1" si="5"/>
        <v>260441.20659137049</v>
      </c>
      <c r="AH25" s="1">
        <f t="shared" ca="1" si="6"/>
        <v>118861.96694121539</v>
      </c>
      <c r="AI25" s="30">
        <f t="shared" ca="1" si="6"/>
        <v>67302.956898982724</v>
      </c>
      <c r="AJ25" s="2">
        <f t="shared" ca="1" si="6"/>
        <v>38712.925834726782</v>
      </c>
      <c r="AK25" s="27">
        <f t="shared" si="7"/>
        <v>45</v>
      </c>
      <c r="AL25" s="120">
        <f t="shared" ca="1" si="8"/>
        <v>260441.20659137049</v>
      </c>
      <c r="AM25" s="1">
        <f t="shared" si="9"/>
        <v>0</v>
      </c>
      <c r="AN25" s="30">
        <f t="shared" si="9"/>
        <v>0</v>
      </c>
      <c r="AO25" s="2">
        <f t="shared" si="9"/>
        <v>0</v>
      </c>
      <c r="AP25" s="9"/>
      <c r="AQ25" s="8"/>
      <c r="AR25" s="11"/>
      <c r="AS25" s="11"/>
      <c r="AT25" s="11"/>
      <c r="AU25" s="11"/>
      <c r="AV25" s="11"/>
      <c r="AW25" s="11"/>
      <c r="AX25" s="11"/>
      <c r="AY25" s="11"/>
      <c r="AZ25" s="11"/>
      <c r="BA25" s="27">
        <f t="shared" si="11"/>
        <v>20</v>
      </c>
      <c r="BB25" s="120">
        <f t="shared" ca="1" si="12"/>
        <v>150379.15596327081</v>
      </c>
      <c r="BC25" s="1">
        <f t="shared" ca="1" si="13"/>
        <v>68631.083762404989</v>
      </c>
      <c r="BD25" s="30">
        <f t="shared" ca="1" si="13"/>
        <v>38860.831528019677</v>
      </c>
      <c r="BE25" s="2">
        <f t="shared" ca="1" si="13"/>
        <v>22352.903321589085</v>
      </c>
      <c r="BF25" s="27">
        <f t="shared" si="14"/>
        <v>45</v>
      </c>
      <c r="BG25" s="120">
        <f t="shared" ca="1" si="15"/>
        <v>150379.15596327081</v>
      </c>
      <c r="BH25" s="1">
        <f t="shared" si="16"/>
        <v>0</v>
      </c>
      <c r="BI25" s="30">
        <f t="shared" si="16"/>
        <v>0</v>
      </c>
      <c r="BJ25" s="2">
        <f t="shared" si="16"/>
        <v>0</v>
      </c>
      <c r="BK25" s="9"/>
      <c r="BL25" s="8"/>
      <c r="BM25" s="11"/>
      <c r="BN25" s="11"/>
      <c r="BO25" s="11"/>
      <c r="BP25" s="11"/>
      <c r="BQ25" s="11"/>
      <c r="BR25" s="11"/>
      <c r="BS25" s="11"/>
      <c r="BT25" s="11"/>
      <c r="BU25" s="11"/>
      <c r="BV25" s="27">
        <f t="shared" si="18"/>
        <v>20</v>
      </c>
      <c r="BW25" s="120">
        <f t="shared" si="19"/>
        <v>51278.303697539799</v>
      </c>
      <c r="BX25" s="1">
        <f t="shared" si="20"/>
        <v>23402.748430902611</v>
      </c>
      <c r="BY25" s="30">
        <f t="shared" si="20"/>
        <v>13251.288107504952</v>
      </c>
      <c r="BZ25" s="2">
        <f t="shared" si="20"/>
        <v>7622.1931005261677</v>
      </c>
      <c r="CA25" s="27">
        <f t="shared" si="21"/>
        <v>45</v>
      </c>
      <c r="CB25" s="120">
        <f t="shared" si="22"/>
        <v>51278.303697539799</v>
      </c>
      <c r="CC25" s="1">
        <f t="shared" si="23"/>
        <v>0</v>
      </c>
      <c r="CD25" s="30">
        <f t="shared" si="23"/>
        <v>0</v>
      </c>
      <c r="CE25" s="2">
        <f t="shared" si="23"/>
        <v>0</v>
      </c>
      <c r="CF25" s="9"/>
      <c r="CG25" s="8"/>
      <c r="CH25" s="11"/>
      <c r="CI25" s="11"/>
      <c r="CJ25" s="11"/>
      <c r="CK25" s="11"/>
      <c r="CL25" s="11"/>
      <c r="CM25" s="11"/>
      <c r="CN25" s="11"/>
      <c r="CO25" s="11"/>
      <c r="CP25" s="11"/>
      <c r="CQ25" s="27">
        <f t="shared" si="24"/>
        <v>20</v>
      </c>
      <c r="CR25" s="120">
        <f t="shared" si="25"/>
        <v>12748.984293294741</v>
      </c>
      <c r="CS25" s="1">
        <f t="shared" si="26"/>
        <v>5818.4700087850242</v>
      </c>
      <c r="CT25" s="30">
        <f t="shared" si="26"/>
        <v>3294.5798079629017</v>
      </c>
      <c r="CU25" s="2">
        <f t="shared" si="26"/>
        <v>1895.0552789781514</v>
      </c>
      <c r="CV25" s="27">
        <f t="shared" si="27"/>
        <v>45</v>
      </c>
      <c r="CW25" s="120">
        <f t="shared" si="28"/>
        <v>12748.984293294741</v>
      </c>
      <c r="CX25" s="1">
        <f t="shared" si="29"/>
        <v>0</v>
      </c>
      <c r="CY25" s="30">
        <f t="shared" si="29"/>
        <v>0</v>
      </c>
      <c r="CZ25" s="2">
        <f t="shared" si="29"/>
        <v>0</v>
      </c>
      <c r="DA25" s="9"/>
    </row>
    <row r="26" spans="1:105" x14ac:dyDescent="0.3">
      <c r="A26" s="8"/>
      <c r="B26" s="11"/>
      <c r="C26" s="11"/>
      <c r="D26" s="11"/>
      <c r="E26" s="11"/>
      <c r="F26" s="11"/>
      <c r="G26" s="11"/>
      <c r="H26" s="11"/>
      <c r="I26" s="11"/>
      <c r="J26" s="11"/>
      <c r="K26" s="27">
        <v>21</v>
      </c>
      <c r="L26" s="120">
        <f t="shared" ca="1" si="31"/>
        <v>474847.65054547589</v>
      </c>
      <c r="M26" s="1">
        <f t="shared" ca="1" si="1"/>
        <v>208379.10494548845</v>
      </c>
      <c r="N26" s="30">
        <f t="shared" ca="1" si="1"/>
        <v>114681.92181539278</v>
      </c>
      <c r="O26" s="2">
        <f t="shared" ca="1" si="1"/>
        <v>64166.434123472893</v>
      </c>
      <c r="P26" s="27">
        <v>46</v>
      </c>
      <c r="Q26" s="120">
        <f t="shared" ca="1" si="2"/>
        <v>474847.65054547589</v>
      </c>
      <c r="R26" s="1">
        <f t="shared" si="3"/>
        <v>0</v>
      </c>
      <c r="S26" s="30">
        <f t="shared" si="3"/>
        <v>0</v>
      </c>
      <c r="T26" s="2">
        <f t="shared" si="3"/>
        <v>0</v>
      </c>
      <c r="U26" s="9"/>
      <c r="V26" s="8"/>
      <c r="W26" s="11"/>
      <c r="X26" s="11"/>
      <c r="Y26" s="11"/>
      <c r="Z26" s="11"/>
      <c r="AA26" s="11"/>
      <c r="AB26" s="11"/>
      <c r="AC26" s="11"/>
      <c r="AD26" s="11"/>
      <c r="AE26" s="11"/>
      <c r="AF26" s="27">
        <f t="shared" si="4"/>
        <v>21</v>
      </c>
      <c r="AG26" s="120">
        <f t="shared" ca="1" si="5"/>
        <v>260441.20659137049</v>
      </c>
      <c r="AH26" s="1">
        <f t="shared" ca="1" si="6"/>
        <v>114290.35282809169</v>
      </c>
      <c r="AI26" s="30">
        <f t="shared" ca="1" si="6"/>
        <v>62899.959718675447</v>
      </c>
      <c r="AJ26" s="2">
        <f t="shared" ca="1" si="6"/>
        <v>35193.568940660705</v>
      </c>
      <c r="AK26" s="27">
        <f t="shared" si="7"/>
        <v>46</v>
      </c>
      <c r="AL26" s="120">
        <f t="shared" ca="1" si="8"/>
        <v>260441.20659137049</v>
      </c>
      <c r="AM26" s="1">
        <f t="shared" si="9"/>
        <v>0</v>
      </c>
      <c r="AN26" s="30">
        <f t="shared" si="9"/>
        <v>0</v>
      </c>
      <c r="AO26" s="2">
        <f t="shared" si="9"/>
        <v>0</v>
      </c>
      <c r="AP26" s="9"/>
      <c r="AQ26" s="8"/>
      <c r="AR26" s="11"/>
      <c r="AS26" s="11"/>
      <c r="AT26" s="11"/>
      <c r="AU26" s="11"/>
      <c r="AV26" s="11"/>
      <c r="AW26" s="11"/>
      <c r="AX26" s="11"/>
      <c r="AY26" s="11"/>
      <c r="AZ26" s="11"/>
      <c r="BA26" s="27">
        <f t="shared" si="11"/>
        <v>21</v>
      </c>
      <c r="BB26" s="120">
        <f t="shared" ca="1" si="12"/>
        <v>150379.15596327081</v>
      </c>
      <c r="BC26" s="1">
        <f t="shared" ca="1" si="13"/>
        <v>65991.426694620153</v>
      </c>
      <c r="BD26" s="30">
        <f t="shared" ca="1" si="13"/>
        <v>36318.534138336145</v>
      </c>
      <c r="BE26" s="2">
        <f t="shared" ca="1" si="13"/>
        <v>20320.821201444622</v>
      </c>
      <c r="BF26" s="27">
        <f t="shared" si="14"/>
        <v>46</v>
      </c>
      <c r="BG26" s="120">
        <f t="shared" ca="1" si="15"/>
        <v>150379.15596327081</v>
      </c>
      <c r="BH26" s="1">
        <f t="shared" si="16"/>
        <v>0</v>
      </c>
      <c r="BI26" s="30">
        <f t="shared" si="16"/>
        <v>0</v>
      </c>
      <c r="BJ26" s="2">
        <f t="shared" si="16"/>
        <v>0</v>
      </c>
      <c r="BK26" s="9"/>
      <c r="BL26" s="8"/>
      <c r="BM26" s="11"/>
      <c r="BN26" s="11"/>
      <c r="BO26" s="11"/>
      <c r="BP26" s="11"/>
      <c r="BQ26" s="11"/>
      <c r="BR26" s="11"/>
      <c r="BS26" s="11"/>
      <c r="BT26" s="11"/>
      <c r="BU26" s="11"/>
      <c r="BV26" s="27">
        <f t="shared" si="18"/>
        <v>21</v>
      </c>
      <c r="BW26" s="120">
        <f t="shared" si="19"/>
        <v>51278.303697539799</v>
      </c>
      <c r="BX26" s="1">
        <f t="shared" si="20"/>
        <v>22502.642722021737</v>
      </c>
      <c r="BY26" s="30">
        <f t="shared" si="20"/>
        <v>12384.381408883131</v>
      </c>
      <c r="BZ26" s="2">
        <f t="shared" si="20"/>
        <v>6929.2664550237878</v>
      </c>
      <c r="CA26" s="27">
        <f t="shared" si="21"/>
        <v>46</v>
      </c>
      <c r="CB26" s="120">
        <f t="shared" si="22"/>
        <v>51278.303697539799</v>
      </c>
      <c r="CC26" s="1">
        <f t="shared" si="23"/>
        <v>0</v>
      </c>
      <c r="CD26" s="30">
        <f t="shared" si="23"/>
        <v>0</v>
      </c>
      <c r="CE26" s="2">
        <f t="shared" si="23"/>
        <v>0</v>
      </c>
      <c r="CF26" s="9"/>
      <c r="CG26" s="8"/>
      <c r="CH26" s="11"/>
      <c r="CI26" s="11"/>
      <c r="CJ26" s="11"/>
      <c r="CK26" s="11"/>
      <c r="CL26" s="11"/>
      <c r="CM26" s="11"/>
      <c r="CN26" s="11"/>
      <c r="CO26" s="11"/>
      <c r="CP26" s="11"/>
      <c r="CQ26" s="27">
        <f t="shared" si="24"/>
        <v>21</v>
      </c>
      <c r="CR26" s="120">
        <f t="shared" si="25"/>
        <v>12748.984293294741</v>
      </c>
      <c r="CS26" s="1">
        <f t="shared" si="26"/>
        <v>5594.68270075483</v>
      </c>
      <c r="CT26" s="30">
        <f t="shared" si="26"/>
        <v>3079.0465494980385</v>
      </c>
      <c r="CU26" s="2">
        <f t="shared" si="26"/>
        <v>1722.7775263437738</v>
      </c>
      <c r="CV26" s="27">
        <f t="shared" si="27"/>
        <v>46</v>
      </c>
      <c r="CW26" s="120">
        <f t="shared" si="28"/>
        <v>12748.984293294741</v>
      </c>
      <c r="CX26" s="1">
        <f t="shared" si="29"/>
        <v>0</v>
      </c>
      <c r="CY26" s="30">
        <f t="shared" si="29"/>
        <v>0</v>
      </c>
      <c r="CZ26" s="2">
        <f t="shared" si="29"/>
        <v>0</v>
      </c>
      <c r="DA26" s="9"/>
    </row>
    <row r="27" spans="1:105" x14ac:dyDescent="0.3">
      <c r="A27" s="8"/>
      <c r="B27" s="11"/>
      <c r="C27" s="11"/>
      <c r="D27" s="11"/>
      <c r="E27" s="11"/>
      <c r="F27" s="11"/>
      <c r="G27" s="11"/>
      <c r="H27" s="11"/>
      <c r="I27" s="11"/>
      <c r="J27" s="11"/>
      <c r="K27" s="27">
        <v>22</v>
      </c>
      <c r="L27" s="120">
        <f t="shared" ca="1" si="31"/>
        <v>474847.65054547589</v>
      </c>
      <c r="M27" s="1">
        <f t="shared" ca="1" si="1"/>
        <v>200364.52398604658</v>
      </c>
      <c r="N27" s="30">
        <f t="shared" ca="1" si="1"/>
        <v>107179.36618261007</v>
      </c>
      <c r="O27" s="2">
        <f t="shared" ca="1" si="1"/>
        <v>58333.121930429901</v>
      </c>
      <c r="P27" s="27">
        <v>47</v>
      </c>
      <c r="Q27" s="120">
        <f t="shared" ca="1" si="2"/>
        <v>474847.65054547589</v>
      </c>
      <c r="R27" s="1">
        <f t="shared" si="3"/>
        <v>0</v>
      </c>
      <c r="S27" s="30">
        <f t="shared" si="3"/>
        <v>0</v>
      </c>
      <c r="T27" s="2">
        <f t="shared" si="3"/>
        <v>0</v>
      </c>
      <c r="U27" s="9"/>
      <c r="V27" s="8"/>
      <c r="W27" s="11"/>
      <c r="X27" s="11"/>
      <c r="Y27" s="11"/>
      <c r="Z27" s="11"/>
      <c r="AA27" s="11"/>
      <c r="AB27" s="11"/>
      <c r="AC27" s="11"/>
      <c r="AD27" s="11"/>
      <c r="AE27" s="11"/>
      <c r="AF27" s="27">
        <f t="shared" si="4"/>
        <v>22</v>
      </c>
      <c r="AG27" s="120">
        <f t="shared" ca="1" si="5"/>
        <v>260441.20659137049</v>
      </c>
      <c r="AH27" s="1">
        <f t="shared" ca="1" si="6"/>
        <v>109894.57002701126</v>
      </c>
      <c r="AI27" s="30">
        <f t="shared" ca="1" si="6"/>
        <v>58785.009082874247</v>
      </c>
      <c r="AJ27" s="2">
        <f t="shared" ca="1" si="6"/>
        <v>31994.153582418821</v>
      </c>
      <c r="AK27" s="27">
        <f t="shared" si="7"/>
        <v>47</v>
      </c>
      <c r="AL27" s="120">
        <f t="shared" ca="1" si="8"/>
        <v>260441.20659137049</v>
      </c>
      <c r="AM27" s="1">
        <f t="shared" si="9"/>
        <v>0</v>
      </c>
      <c r="AN27" s="30">
        <f t="shared" si="9"/>
        <v>0</v>
      </c>
      <c r="AO27" s="2">
        <f t="shared" si="9"/>
        <v>0</v>
      </c>
      <c r="AP27" s="9"/>
      <c r="AQ27" s="8"/>
      <c r="AR27" s="11"/>
      <c r="AS27" s="11"/>
      <c r="AT27" s="11"/>
      <c r="AU27" s="11"/>
      <c r="AV27" s="11"/>
      <c r="AW27" s="11"/>
      <c r="AX27" s="11"/>
      <c r="AY27" s="11"/>
      <c r="AZ27" s="11"/>
      <c r="BA27" s="27">
        <f t="shared" si="11"/>
        <v>22</v>
      </c>
      <c r="BB27" s="120">
        <f t="shared" ca="1" si="12"/>
        <v>150379.15596327081</v>
      </c>
      <c r="BC27" s="1">
        <f t="shared" ca="1" si="13"/>
        <v>63453.294898673237</v>
      </c>
      <c r="BD27" s="30">
        <f t="shared" ca="1" si="13"/>
        <v>33942.555269473036</v>
      </c>
      <c r="BE27" s="2">
        <f t="shared" ca="1" si="13"/>
        <v>18473.473819495106</v>
      </c>
      <c r="BF27" s="27">
        <f t="shared" si="14"/>
        <v>47</v>
      </c>
      <c r="BG27" s="120">
        <f t="shared" ca="1" si="15"/>
        <v>150379.15596327081</v>
      </c>
      <c r="BH27" s="1">
        <f t="shared" si="16"/>
        <v>0</v>
      </c>
      <c r="BI27" s="30">
        <f t="shared" si="16"/>
        <v>0</v>
      </c>
      <c r="BJ27" s="2">
        <f t="shared" si="16"/>
        <v>0</v>
      </c>
      <c r="BK27" s="9"/>
      <c r="BL27" s="8"/>
      <c r="BM27" s="11"/>
      <c r="BN27" s="11"/>
      <c r="BO27" s="11"/>
      <c r="BP27" s="11"/>
      <c r="BQ27" s="11"/>
      <c r="BR27" s="11"/>
      <c r="BS27" s="11"/>
      <c r="BT27" s="11"/>
      <c r="BU27" s="11"/>
      <c r="BV27" s="27">
        <f t="shared" si="18"/>
        <v>22</v>
      </c>
      <c r="BW27" s="120">
        <f t="shared" si="19"/>
        <v>51278.303697539799</v>
      </c>
      <c r="BX27" s="1">
        <f t="shared" si="20"/>
        <v>21637.156463482439</v>
      </c>
      <c r="BY27" s="30">
        <f t="shared" si="20"/>
        <v>11574.188232601058</v>
      </c>
      <c r="BZ27" s="2">
        <f t="shared" si="20"/>
        <v>6299.3331409307157</v>
      </c>
      <c r="CA27" s="27">
        <f t="shared" si="21"/>
        <v>47</v>
      </c>
      <c r="CB27" s="120">
        <f t="shared" si="22"/>
        <v>51278.303697539799</v>
      </c>
      <c r="CC27" s="1">
        <f t="shared" si="23"/>
        <v>0</v>
      </c>
      <c r="CD27" s="30">
        <f t="shared" si="23"/>
        <v>0</v>
      </c>
      <c r="CE27" s="2">
        <f t="shared" si="23"/>
        <v>0</v>
      </c>
      <c r="CF27" s="9"/>
      <c r="CG27" s="8"/>
      <c r="CH27" s="11"/>
      <c r="CI27" s="11"/>
      <c r="CJ27" s="11"/>
      <c r="CK27" s="11"/>
      <c r="CL27" s="11"/>
      <c r="CM27" s="11"/>
      <c r="CN27" s="11"/>
      <c r="CO27" s="11"/>
      <c r="CP27" s="11"/>
      <c r="CQ27" s="27">
        <f t="shared" si="24"/>
        <v>22</v>
      </c>
      <c r="CR27" s="120">
        <f t="shared" si="25"/>
        <v>12748.984293294741</v>
      </c>
      <c r="CS27" s="1">
        <f t="shared" si="26"/>
        <v>5379.5025968796444</v>
      </c>
      <c r="CT27" s="30">
        <f t="shared" si="26"/>
        <v>2877.6135976617184</v>
      </c>
      <c r="CU27" s="2">
        <f t="shared" si="26"/>
        <v>1566.1613875852486</v>
      </c>
      <c r="CV27" s="27">
        <f t="shared" si="27"/>
        <v>47</v>
      </c>
      <c r="CW27" s="120">
        <f t="shared" si="28"/>
        <v>12748.984293294741</v>
      </c>
      <c r="CX27" s="1">
        <f t="shared" si="29"/>
        <v>0</v>
      </c>
      <c r="CY27" s="30">
        <f t="shared" si="29"/>
        <v>0</v>
      </c>
      <c r="CZ27" s="2">
        <f t="shared" si="29"/>
        <v>0</v>
      </c>
      <c r="DA27" s="9"/>
    </row>
    <row r="28" spans="1:105" x14ac:dyDescent="0.3">
      <c r="A28" s="8"/>
      <c r="B28" s="11"/>
      <c r="C28" s="11"/>
      <c r="D28" s="11"/>
      <c r="E28" s="11"/>
      <c r="F28" s="11"/>
      <c r="G28" s="11"/>
      <c r="H28" s="11"/>
      <c r="I28" s="11"/>
      <c r="J28" s="11"/>
      <c r="K28" s="27">
        <v>23</v>
      </c>
      <c r="L28" s="120">
        <f t="shared" ca="1" si="31"/>
        <v>474847.65054547589</v>
      </c>
      <c r="M28" s="1">
        <f t="shared" ca="1" si="1"/>
        <v>192658.19614042944</v>
      </c>
      <c r="N28" s="30">
        <f t="shared" ca="1" si="1"/>
        <v>100167.63194636455</v>
      </c>
      <c r="O28" s="2">
        <f t="shared" ca="1" si="1"/>
        <v>53030.110845845353</v>
      </c>
      <c r="P28" s="27">
        <v>48</v>
      </c>
      <c r="Q28" s="120">
        <f t="shared" ca="1" si="2"/>
        <v>474847.65054547589</v>
      </c>
      <c r="R28" s="1">
        <f t="shared" si="3"/>
        <v>0</v>
      </c>
      <c r="S28" s="30">
        <f t="shared" si="3"/>
        <v>0</v>
      </c>
      <c r="T28" s="2">
        <f t="shared" si="3"/>
        <v>0</v>
      </c>
      <c r="U28" s="9"/>
      <c r="V28" s="8"/>
      <c r="W28" s="11"/>
      <c r="X28" s="11"/>
      <c r="Y28" s="11"/>
      <c r="Z28" s="11"/>
      <c r="AA28" s="11"/>
      <c r="AB28" s="11"/>
      <c r="AC28" s="11"/>
      <c r="AD28" s="11"/>
      <c r="AE28" s="11"/>
      <c r="AF28" s="27">
        <f t="shared" si="4"/>
        <v>23</v>
      </c>
      <c r="AG28" s="120">
        <f t="shared" ca="1" si="5"/>
        <v>260441.20659137049</v>
      </c>
      <c r="AH28" s="1">
        <f t="shared" ca="1" si="6"/>
        <v>105667.85579520314</v>
      </c>
      <c r="AI28" s="30">
        <f t="shared" ca="1" si="6"/>
        <v>54939.260825116122</v>
      </c>
      <c r="AJ28" s="2">
        <f t="shared" ca="1" si="6"/>
        <v>29085.594165835289</v>
      </c>
      <c r="AK28" s="27">
        <f t="shared" si="7"/>
        <v>48</v>
      </c>
      <c r="AL28" s="120">
        <f t="shared" ca="1" si="8"/>
        <v>260441.20659137049</v>
      </c>
      <c r="AM28" s="1">
        <f t="shared" si="9"/>
        <v>0</v>
      </c>
      <c r="AN28" s="30">
        <f t="shared" si="9"/>
        <v>0</v>
      </c>
      <c r="AO28" s="2">
        <f t="shared" si="9"/>
        <v>0</v>
      </c>
      <c r="AP28" s="9"/>
      <c r="AQ28" s="8"/>
      <c r="AR28" s="11"/>
      <c r="AS28" s="11"/>
      <c r="AT28" s="11"/>
      <c r="AU28" s="11"/>
      <c r="AV28" s="11"/>
      <c r="AW28" s="11"/>
      <c r="AX28" s="11"/>
      <c r="AY28" s="11"/>
      <c r="AZ28" s="11"/>
      <c r="BA28" s="27">
        <f t="shared" si="11"/>
        <v>23</v>
      </c>
      <c r="BB28" s="120">
        <f t="shared" ca="1" si="12"/>
        <v>150379.15596327081</v>
      </c>
      <c r="BC28" s="1">
        <f t="shared" ca="1" si="13"/>
        <v>61012.78355641658</v>
      </c>
      <c r="BD28" s="30">
        <f t="shared" ca="1" si="13"/>
        <v>31722.014270535547</v>
      </c>
      <c r="BE28" s="2">
        <f t="shared" ca="1" si="13"/>
        <v>16794.067108631913</v>
      </c>
      <c r="BF28" s="27">
        <f t="shared" si="14"/>
        <v>48</v>
      </c>
      <c r="BG28" s="120">
        <f t="shared" ca="1" si="15"/>
        <v>150379.15596327081</v>
      </c>
      <c r="BH28" s="1">
        <f t="shared" si="16"/>
        <v>0</v>
      </c>
      <c r="BI28" s="30">
        <f t="shared" si="16"/>
        <v>0</v>
      </c>
      <c r="BJ28" s="2">
        <f t="shared" si="16"/>
        <v>0</v>
      </c>
      <c r="BK28" s="9"/>
      <c r="BL28" s="8"/>
      <c r="BM28" s="11"/>
      <c r="BN28" s="11"/>
      <c r="BO28" s="11"/>
      <c r="BP28" s="11"/>
      <c r="BQ28" s="11"/>
      <c r="BR28" s="11"/>
      <c r="BS28" s="11"/>
      <c r="BT28" s="11"/>
      <c r="BU28" s="11"/>
      <c r="BV28" s="27">
        <f t="shared" si="18"/>
        <v>23</v>
      </c>
      <c r="BW28" s="120">
        <f t="shared" si="19"/>
        <v>51278.303697539799</v>
      </c>
      <c r="BX28" s="1">
        <f t="shared" si="20"/>
        <v>20804.958137963888</v>
      </c>
      <c r="BY28" s="30">
        <f t="shared" si="20"/>
        <v>10816.998348225286</v>
      </c>
      <c r="BZ28" s="2">
        <f t="shared" si="20"/>
        <v>5726.6664917551952</v>
      </c>
      <c r="CA28" s="27">
        <f t="shared" si="21"/>
        <v>48</v>
      </c>
      <c r="CB28" s="120">
        <f t="shared" si="22"/>
        <v>51278.303697539799</v>
      </c>
      <c r="CC28" s="1">
        <f t="shared" si="23"/>
        <v>0</v>
      </c>
      <c r="CD28" s="30">
        <f t="shared" si="23"/>
        <v>0</v>
      </c>
      <c r="CE28" s="2">
        <f t="shared" si="23"/>
        <v>0</v>
      </c>
      <c r="CF28" s="9"/>
      <c r="CG28" s="8"/>
      <c r="CH28" s="11"/>
      <c r="CI28" s="11"/>
      <c r="CJ28" s="11"/>
      <c r="CK28" s="11"/>
      <c r="CL28" s="11"/>
      <c r="CM28" s="11"/>
      <c r="CN28" s="11"/>
      <c r="CO28" s="11"/>
      <c r="CP28" s="11"/>
      <c r="CQ28" s="27">
        <f t="shared" si="24"/>
        <v>23</v>
      </c>
      <c r="CR28" s="120">
        <f t="shared" si="25"/>
        <v>12748.984293294741</v>
      </c>
      <c r="CS28" s="1">
        <f t="shared" si="26"/>
        <v>5172.5986508458127</v>
      </c>
      <c r="CT28" s="30">
        <f t="shared" si="26"/>
        <v>2689.3585024875874</v>
      </c>
      <c r="CU28" s="2">
        <f t="shared" si="26"/>
        <v>1423.7830796229532</v>
      </c>
      <c r="CV28" s="27">
        <f t="shared" si="27"/>
        <v>48</v>
      </c>
      <c r="CW28" s="120">
        <f t="shared" si="28"/>
        <v>12748.984293294741</v>
      </c>
      <c r="CX28" s="1">
        <f t="shared" si="29"/>
        <v>0</v>
      </c>
      <c r="CY28" s="30">
        <f t="shared" si="29"/>
        <v>0</v>
      </c>
      <c r="CZ28" s="2">
        <f t="shared" si="29"/>
        <v>0</v>
      </c>
      <c r="DA28" s="9"/>
    </row>
    <row r="29" spans="1:105" x14ac:dyDescent="0.3">
      <c r="A29" s="8"/>
      <c r="B29" s="11"/>
      <c r="C29" s="11"/>
      <c r="D29" s="11"/>
      <c r="E29" s="11"/>
      <c r="F29" s="11"/>
      <c r="G29" s="11"/>
      <c r="H29" s="11"/>
      <c r="I29" s="11"/>
      <c r="J29" s="11"/>
      <c r="K29" s="27">
        <v>24</v>
      </c>
      <c r="L29" s="120">
        <f t="shared" ca="1" si="31"/>
        <v>474847.65054547589</v>
      </c>
      <c r="M29" s="1">
        <f t="shared" ca="1" si="1"/>
        <v>185248.26551964367</v>
      </c>
      <c r="N29" s="30">
        <f t="shared" ca="1" si="1"/>
        <v>93614.609295667804</v>
      </c>
      <c r="O29" s="2">
        <f t="shared" ca="1" si="1"/>
        <v>48209.191678041243</v>
      </c>
      <c r="P29" s="27">
        <v>49</v>
      </c>
      <c r="Q29" s="120">
        <f t="shared" ca="1" si="2"/>
        <v>474847.65054547589</v>
      </c>
      <c r="R29" s="1">
        <f t="shared" si="3"/>
        <v>0</v>
      </c>
      <c r="S29" s="30">
        <f t="shared" si="3"/>
        <v>0</v>
      </c>
      <c r="T29" s="2">
        <f t="shared" si="3"/>
        <v>0</v>
      </c>
      <c r="U29" s="9"/>
      <c r="V29" s="8"/>
      <c r="W29" s="11"/>
      <c r="X29" s="11"/>
      <c r="Y29" s="11"/>
      <c r="Z29" s="11"/>
      <c r="AA29" s="11"/>
      <c r="AB29" s="11"/>
      <c r="AC29" s="11"/>
      <c r="AD29" s="11"/>
      <c r="AE29" s="11"/>
      <c r="AF29" s="27">
        <f t="shared" si="4"/>
        <v>24</v>
      </c>
      <c r="AG29" s="120">
        <f t="shared" ca="1" si="5"/>
        <v>260441.20659137049</v>
      </c>
      <c r="AH29" s="1">
        <f t="shared" ca="1" si="6"/>
        <v>101603.70749538763</v>
      </c>
      <c r="AI29" s="30">
        <f t="shared" ca="1" si="6"/>
        <v>51345.103574874876</v>
      </c>
      <c r="AJ29" s="2">
        <f t="shared" ca="1" si="6"/>
        <v>26441.449241668448</v>
      </c>
      <c r="AK29" s="27">
        <f t="shared" si="7"/>
        <v>49</v>
      </c>
      <c r="AL29" s="120">
        <f t="shared" ca="1" si="8"/>
        <v>260441.20659137049</v>
      </c>
      <c r="AM29" s="1">
        <f t="shared" si="9"/>
        <v>0</v>
      </c>
      <c r="AN29" s="30">
        <f t="shared" si="9"/>
        <v>0</v>
      </c>
      <c r="AO29" s="2">
        <f t="shared" si="9"/>
        <v>0</v>
      </c>
      <c r="AP29" s="9"/>
      <c r="AQ29" s="8"/>
      <c r="AR29" s="11"/>
      <c r="AS29" s="11"/>
      <c r="AT29" s="11"/>
      <c r="AU29" s="11"/>
      <c r="AV29" s="11"/>
      <c r="AW29" s="11"/>
      <c r="AX29" s="11"/>
      <c r="AY29" s="11"/>
      <c r="AZ29" s="11"/>
      <c r="BA29" s="27">
        <f t="shared" si="11"/>
        <v>24</v>
      </c>
      <c r="BB29" s="120">
        <f t="shared" ca="1" si="12"/>
        <v>150379.15596327081</v>
      </c>
      <c r="BC29" s="1">
        <f t="shared" ca="1" si="13"/>
        <v>58666.138035015931</v>
      </c>
      <c r="BD29" s="30">
        <f t="shared" ca="1" si="13"/>
        <v>29646.742308911722</v>
      </c>
      <c r="BE29" s="2">
        <f t="shared" ca="1" si="13"/>
        <v>15267.333735119924</v>
      </c>
      <c r="BF29" s="27">
        <f t="shared" si="14"/>
        <v>49</v>
      </c>
      <c r="BG29" s="120">
        <f t="shared" ca="1" si="15"/>
        <v>150379.15596327081</v>
      </c>
      <c r="BH29" s="1">
        <f t="shared" si="16"/>
        <v>0</v>
      </c>
      <c r="BI29" s="30">
        <f t="shared" si="16"/>
        <v>0</v>
      </c>
      <c r="BJ29" s="2">
        <f t="shared" si="16"/>
        <v>0</v>
      </c>
      <c r="BK29" s="9"/>
      <c r="BL29" s="8"/>
      <c r="BM29" s="11"/>
      <c r="BN29" s="11"/>
      <c r="BO29" s="11"/>
      <c r="BP29" s="11"/>
      <c r="BQ29" s="11"/>
      <c r="BR29" s="11"/>
      <c r="BS29" s="11"/>
      <c r="BT29" s="11"/>
      <c r="BU29" s="11"/>
      <c r="BV29" s="27">
        <f t="shared" si="18"/>
        <v>24</v>
      </c>
      <c r="BW29" s="120">
        <f t="shared" si="19"/>
        <v>51278.303697539799</v>
      </c>
      <c r="BX29" s="1">
        <f t="shared" si="20"/>
        <v>20004.76744034989</v>
      </c>
      <c r="BY29" s="30">
        <f t="shared" si="20"/>
        <v>10109.344250677837</v>
      </c>
      <c r="BZ29" s="2">
        <f t="shared" si="20"/>
        <v>5206.0604470501785</v>
      </c>
      <c r="CA29" s="27">
        <f t="shared" si="21"/>
        <v>49</v>
      </c>
      <c r="CB29" s="120">
        <f t="shared" si="22"/>
        <v>51278.303697539799</v>
      </c>
      <c r="CC29" s="1">
        <f t="shared" si="23"/>
        <v>0</v>
      </c>
      <c r="CD29" s="30">
        <f t="shared" si="23"/>
        <v>0</v>
      </c>
      <c r="CE29" s="2">
        <f t="shared" si="23"/>
        <v>0</v>
      </c>
      <c r="CF29" s="9"/>
      <c r="CG29" s="8"/>
      <c r="CH29" s="11"/>
      <c r="CI29" s="11"/>
      <c r="CJ29" s="11"/>
      <c r="CK29" s="11"/>
      <c r="CL29" s="11"/>
      <c r="CM29" s="11"/>
      <c r="CN29" s="11"/>
      <c r="CO29" s="11"/>
      <c r="CP29" s="11"/>
      <c r="CQ29" s="27">
        <f t="shared" si="24"/>
        <v>24</v>
      </c>
      <c r="CR29" s="120">
        <f t="shared" si="25"/>
        <v>12748.984293294741</v>
      </c>
      <c r="CS29" s="1">
        <f t="shared" si="26"/>
        <v>4973.6525488902034</v>
      </c>
      <c r="CT29" s="30">
        <f t="shared" si="26"/>
        <v>2513.4191612033524</v>
      </c>
      <c r="CU29" s="2">
        <f t="shared" si="26"/>
        <v>1294.348254202685</v>
      </c>
      <c r="CV29" s="27">
        <f t="shared" si="27"/>
        <v>49</v>
      </c>
      <c r="CW29" s="120">
        <f t="shared" si="28"/>
        <v>12748.984293294741</v>
      </c>
      <c r="CX29" s="1">
        <f t="shared" si="29"/>
        <v>0</v>
      </c>
      <c r="CY29" s="30">
        <f t="shared" si="29"/>
        <v>0</v>
      </c>
      <c r="CZ29" s="2">
        <f t="shared" si="29"/>
        <v>0</v>
      </c>
      <c r="DA29" s="9"/>
    </row>
    <row r="30" spans="1:105" ht="15" thickBot="1" x14ac:dyDescent="0.35">
      <c r="A30" s="8"/>
      <c r="B30" s="11"/>
      <c r="C30" s="11"/>
      <c r="D30" s="11"/>
      <c r="E30" s="11"/>
      <c r="F30" s="11"/>
      <c r="G30" s="11"/>
      <c r="H30" s="11"/>
      <c r="I30" s="11"/>
      <c r="J30" s="11"/>
      <c r="K30" s="28">
        <v>25</v>
      </c>
      <c r="L30" s="121">
        <f t="shared" ca="1" si="31"/>
        <v>474847.65054547589</v>
      </c>
      <c r="M30" s="3">
        <f t="shared" ca="1" si="1"/>
        <v>178123.33223042657</v>
      </c>
      <c r="N30" s="31">
        <f t="shared" ca="1" si="1"/>
        <v>87490.289061371775</v>
      </c>
      <c r="O30" s="4">
        <f t="shared" ca="1" si="1"/>
        <v>43826.537889128391</v>
      </c>
      <c r="P30" s="28">
        <v>50</v>
      </c>
      <c r="Q30" s="121">
        <f t="shared" ca="1" si="2"/>
        <v>474847.65054547589</v>
      </c>
      <c r="R30" s="3">
        <f t="shared" si="3"/>
        <v>0</v>
      </c>
      <c r="S30" s="31">
        <f t="shared" si="3"/>
        <v>0</v>
      </c>
      <c r="T30" s="4">
        <f t="shared" si="3"/>
        <v>0</v>
      </c>
      <c r="U30" s="9"/>
      <c r="V30" s="8"/>
      <c r="W30" s="11"/>
      <c r="X30" s="11"/>
      <c r="Y30" s="11"/>
      <c r="Z30" s="11"/>
      <c r="AA30" s="11"/>
      <c r="AB30" s="11"/>
      <c r="AC30" s="11"/>
      <c r="AD30" s="11"/>
      <c r="AE30" s="11"/>
      <c r="AF30" s="28">
        <f t="shared" si="4"/>
        <v>25</v>
      </c>
      <c r="AG30" s="121">
        <f t="shared" ca="1" si="5"/>
        <v>260441.20659137049</v>
      </c>
      <c r="AH30" s="3">
        <f t="shared" ca="1" si="6"/>
        <v>97695.872591718842</v>
      </c>
      <c r="AI30" s="31">
        <f t="shared" ca="1" si="6"/>
        <v>47986.078107359695</v>
      </c>
      <c r="AJ30" s="4">
        <f t="shared" ca="1" si="6"/>
        <v>24037.681128789493</v>
      </c>
      <c r="AK30" s="28">
        <f t="shared" si="7"/>
        <v>50</v>
      </c>
      <c r="AL30" s="121">
        <f t="shared" ca="1" si="8"/>
        <v>260441.20659137049</v>
      </c>
      <c r="AM30" s="3">
        <f t="shared" si="9"/>
        <v>0</v>
      </c>
      <c r="AN30" s="31">
        <f t="shared" si="9"/>
        <v>0</v>
      </c>
      <c r="AO30" s="4">
        <f t="shared" si="9"/>
        <v>0</v>
      </c>
      <c r="AP30" s="9"/>
      <c r="AQ30" s="8"/>
      <c r="AR30" s="11"/>
      <c r="AS30" s="11"/>
      <c r="AT30" s="11"/>
      <c r="AU30" s="11"/>
      <c r="AV30" s="11"/>
      <c r="AW30" s="11"/>
      <c r="AX30" s="11"/>
      <c r="AY30" s="11"/>
      <c r="AZ30" s="11"/>
      <c r="BA30" s="28">
        <f t="shared" si="11"/>
        <v>25</v>
      </c>
      <c r="BB30" s="121">
        <f t="shared" ca="1" si="12"/>
        <v>150379.15596327081</v>
      </c>
      <c r="BC30" s="3">
        <f t="shared" ca="1" si="13"/>
        <v>56409.748110592234</v>
      </c>
      <c r="BD30" s="31">
        <f t="shared" ca="1" si="13"/>
        <v>27707.235802721236</v>
      </c>
      <c r="BE30" s="4">
        <f t="shared" ca="1" si="13"/>
        <v>13879.394304654474</v>
      </c>
      <c r="BF30" s="28">
        <f t="shared" si="14"/>
        <v>50</v>
      </c>
      <c r="BG30" s="121">
        <f t="shared" ca="1" si="15"/>
        <v>150379.15596327081</v>
      </c>
      <c r="BH30" s="3">
        <f t="shared" si="16"/>
        <v>0</v>
      </c>
      <c r="BI30" s="31">
        <f t="shared" si="16"/>
        <v>0</v>
      </c>
      <c r="BJ30" s="4">
        <f t="shared" si="16"/>
        <v>0</v>
      </c>
      <c r="BK30" s="9"/>
      <c r="BL30" s="8"/>
      <c r="BM30" s="11"/>
      <c r="BN30" s="11"/>
      <c r="BO30" s="11"/>
      <c r="BP30" s="11"/>
      <c r="BQ30" s="11"/>
      <c r="BR30" s="11"/>
      <c r="BS30" s="11"/>
      <c r="BT30" s="11"/>
      <c r="BU30" s="11"/>
      <c r="BV30" s="28">
        <f t="shared" si="18"/>
        <v>25</v>
      </c>
      <c r="BW30" s="121">
        <f t="shared" si="19"/>
        <v>51278.303697539799</v>
      </c>
      <c r="BX30" s="3">
        <f t="shared" si="20"/>
        <v>19235.353308028734</v>
      </c>
      <c r="BY30" s="31">
        <f t="shared" si="20"/>
        <v>9447.9852810073244</v>
      </c>
      <c r="BZ30" s="4">
        <f t="shared" si="20"/>
        <v>4732.7822245910702</v>
      </c>
      <c r="CA30" s="28">
        <f t="shared" si="21"/>
        <v>50</v>
      </c>
      <c r="CB30" s="121">
        <f t="shared" si="22"/>
        <v>51278.303697539799</v>
      </c>
      <c r="CC30" s="3">
        <f t="shared" si="23"/>
        <v>0</v>
      </c>
      <c r="CD30" s="31">
        <f t="shared" si="23"/>
        <v>0</v>
      </c>
      <c r="CE30" s="4">
        <f t="shared" si="23"/>
        <v>0</v>
      </c>
      <c r="CF30" s="9"/>
      <c r="CG30" s="8"/>
      <c r="CH30" s="11"/>
      <c r="CI30" s="11"/>
      <c r="CJ30" s="11"/>
      <c r="CK30" s="11"/>
      <c r="CL30" s="11"/>
      <c r="CM30" s="11"/>
      <c r="CN30" s="11"/>
      <c r="CO30" s="11"/>
      <c r="CP30" s="11"/>
      <c r="CQ30" s="28">
        <f t="shared" si="24"/>
        <v>25</v>
      </c>
      <c r="CR30" s="121">
        <f t="shared" si="25"/>
        <v>12748.984293294741</v>
      </c>
      <c r="CS30" s="3">
        <f t="shared" si="26"/>
        <v>4782.3582200867331</v>
      </c>
      <c r="CT30" s="31">
        <f t="shared" si="26"/>
        <v>2348.9898702835067</v>
      </c>
      <c r="CU30" s="4">
        <f t="shared" si="26"/>
        <v>1176.6802310933497</v>
      </c>
      <c r="CV30" s="28">
        <f t="shared" si="27"/>
        <v>50</v>
      </c>
      <c r="CW30" s="121">
        <f t="shared" si="28"/>
        <v>12748.984293294741</v>
      </c>
      <c r="CX30" s="3">
        <f t="shared" si="29"/>
        <v>0</v>
      </c>
      <c r="CY30" s="31">
        <f t="shared" si="29"/>
        <v>0</v>
      </c>
      <c r="CZ30" s="4">
        <f t="shared" si="29"/>
        <v>0</v>
      </c>
      <c r="DA30" s="9"/>
    </row>
    <row r="31" spans="1:105" ht="15" thickBot="1" x14ac:dyDescent="0.35">
      <c r="A31" s="8"/>
      <c r="B31" s="11"/>
      <c r="C31" s="11"/>
      <c r="D31" s="11"/>
      <c r="E31" s="11"/>
      <c r="F31" s="11"/>
      <c r="G31" s="11"/>
      <c r="H31" s="11"/>
      <c r="I31" s="11"/>
      <c r="J31" s="11"/>
      <c r="K31" s="757" t="s">
        <v>26</v>
      </c>
      <c r="L31" s="758"/>
      <c r="M31" s="758"/>
      <c r="N31" s="758"/>
      <c r="O31" s="758"/>
      <c r="P31" s="758"/>
      <c r="Q31" s="758"/>
      <c r="R31" s="117">
        <f ca="1">SUM(M6:M30,R6:R30)</f>
        <v>8211081.3859746531</v>
      </c>
      <c r="S31" s="117">
        <f ca="1">SUM(N6:N30,S6:S30)</f>
        <v>5892404.0515098106</v>
      </c>
      <c r="T31" s="118">
        <f ca="1">SUM(O6:O30,T6:T30)</f>
        <v>4476348.1865425576</v>
      </c>
      <c r="U31" s="9"/>
      <c r="V31" s="8"/>
      <c r="W31" s="11"/>
      <c r="X31" s="11"/>
      <c r="Y31" s="11"/>
      <c r="Z31" s="11"/>
      <c r="AA31" s="11"/>
      <c r="AB31" s="11"/>
      <c r="AC31" s="11"/>
      <c r="AD31" s="11"/>
      <c r="AE31" s="11"/>
      <c r="AF31" s="757" t="s">
        <v>26</v>
      </c>
      <c r="AG31" s="758"/>
      <c r="AH31" s="758"/>
      <c r="AI31" s="758"/>
      <c r="AJ31" s="758"/>
      <c r="AK31" s="758"/>
      <c r="AL31" s="758"/>
      <c r="AM31" s="117">
        <f ca="1">SUM(AH6:AH30,AM6:AM30)</f>
        <v>4503558.0172432158</v>
      </c>
      <c r="AN31" s="117">
        <f ca="1">SUM(AI6:AI30,AN6:AN30)</f>
        <v>3231825.658474274</v>
      </c>
      <c r="AO31" s="118">
        <f ca="1">SUM(AJ6:AJ30,AO6:AO30)</f>
        <v>2455156.9782160828</v>
      </c>
      <c r="AP31" s="9"/>
      <c r="AQ31" s="8"/>
      <c r="AR31" s="11"/>
      <c r="AS31" s="11"/>
      <c r="AT31" s="11"/>
      <c r="AU31" s="11"/>
      <c r="AV31" s="11"/>
      <c r="AW31" s="11"/>
      <c r="AX31" s="11"/>
      <c r="AY31" s="11"/>
      <c r="AZ31" s="11"/>
      <c r="BA31" s="757" t="s">
        <v>26</v>
      </c>
      <c r="BB31" s="758"/>
      <c r="BC31" s="758"/>
      <c r="BD31" s="758"/>
      <c r="BE31" s="758"/>
      <c r="BF31" s="758"/>
      <c r="BG31" s="758"/>
      <c r="BH31" s="117">
        <f ca="1">SUM(BC6:BC30,BH6:BH30)</f>
        <v>2600361.3726426959</v>
      </c>
      <c r="BI31" s="117">
        <f ca="1">SUM(BD6:BD30,BI6:BI30)</f>
        <v>1866061.1394890775</v>
      </c>
      <c r="BJ31" s="118">
        <f ca="1">SUM(BE6:BE30,BJ6:BJ30)</f>
        <v>1417611.4408836497</v>
      </c>
      <c r="BK31" s="9"/>
      <c r="BL31" s="8"/>
      <c r="BM31" s="11"/>
      <c r="BN31" s="11"/>
      <c r="BO31" s="11"/>
      <c r="BP31" s="11"/>
      <c r="BQ31" s="11"/>
      <c r="BR31" s="11"/>
      <c r="BS31" s="11"/>
      <c r="BT31" s="11"/>
      <c r="BU31" s="11"/>
      <c r="BV31" s="757" t="s">
        <v>26</v>
      </c>
      <c r="BW31" s="758"/>
      <c r="BX31" s="758"/>
      <c r="BY31" s="758"/>
      <c r="BZ31" s="758"/>
      <c r="CA31" s="758"/>
      <c r="CB31" s="758"/>
      <c r="CC31" s="117">
        <f>SUM(BX6:BX30,CC6:CC30)</f>
        <v>886706.13513944438</v>
      </c>
      <c r="CD31" s="117">
        <f>SUM(BY6:BY30,CD6:CD30)</f>
        <v>636314.58240309218</v>
      </c>
      <c r="CE31" s="118">
        <f>SUM(BZ6:BZ30,CE6:CE30)</f>
        <v>483396.18296895828</v>
      </c>
      <c r="CF31" s="9"/>
      <c r="CG31" s="8"/>
      <c r="CH31" s="11"/>
      <c r="CI31" s="11"/>
      <c r="CJ31" s="11"/>
      <c r="CK31" s="11"/>
      <c r="CL31" s="11"/>
      <c r="CM31" s="11"/>
      <c r="CN31" s="11"/>
      <c r="CO31" s="11"/>
      <c r="CP31" s="11"/>
      <c r="CQ31" s="757" t="s">
        <v>26</v>
      </c>
      <c r="CR31" s="758"/>
      <c r="CS31" s="758"/>
      <c r="CT31" s="758"/>
      <c r="CU31" s="758"/>
      <c r="CV31" s="758"/>
      <c r="CW31" s="758"/>
      <c r="CX31" s="117">
        <f>SUM(CS6:CS30,CX6:CX30)</f>
        <v>220455.86094930096</v>
      </c>
      <c r="CY31" s="117">
        <f>SUM(CT6:CT30,CY6:CY30)</f>
        <v>158202.67114336381</v>
      </c>
      <c r="CZ31" s="118">
        <f>SUM(CU6:CU30,CZ6:CZ30)</f>
        <v>120183.58447386697</v>
      </c>
      <c r="DA31" s="9"/>
    </row>
    <row r="32" spans="1:105" x14ac:dyDescent="0.3">
      <c r="A32" s="8"/>
      <c r="B32" s="11"/>
      <c r="C32" s="11"/>
      <c r="D32" s="11"/>
      <c r="E32" s="11"/>
      <c r="F32" s="11"/>
      <c r="G32" s="11"/>
      <c r="H32" s="11"/>
      <c r="I32" s="11"/>
      <c r="J32" s="11"/>
      <c r="K32" s="11"/>
      <c r="L32" s="11"/>
      <c r="M32" s="11"/>
      <c r="N32" s="11"/>
      <c r="O32" s="11"/>
      <c r="P32" s="11"/>
      <c r="Q32" s="11"/>
      <c r="R32" s="11"/>
      <c r="S32" s="11"/>
      <c r="T32" s="11"/>
      <c r="U32" s="9"/>
      <c r="V32" s="8"/>
      <c r="W32" s="11"/>
      <c r="X32" s="11"/>
      <c r="Y32" s="11"/>
      <c r="Z32" s="11"/>
      <c r="AA32" s="11"/>
      <c r="AB32" s="11"/>
      <c r="AC32" s="11"/>
      <c r="AD32" s="11"/>
      <c r="AE32" s="11"/>
      <c r="AF32" s="11"/>
      <c r="AG32" s="11"/>
      <c r="AH32" s="11"/>
      <c r="AI32" s="11"/>
      <c r="AJ32" s="11"/>
      <c r="AK32" s="11"/>
      <c r="AL32" s="11"/>
      <c r="AM32" s="11"/>
      <c r="AN32" s="11"/>
      <c r="AO32" s="11"/>
      <c r="AP32" s="9"/>
      <c r="AQ32" s="8"/>
      <c r="AR32" s="11"/>
      <c r="AS32" s="11"/>
      <c r="AT32" s="11"/>
      <c r="AU32" s="11"/>
      <c r="AV32" s="11"/>
      <c r="AW32" s="11"/>
      <c r="AX32" s="11"/>
      <c r="AY32" s="11"/>
      <c r="AZ32" s="11"/>
      <c r="BA32" s="11"/>
      <c r="BB32" s="11"/>
      <c r="BC32" s="11"/>
      <c r="BD32" s="11"/>
      <c r="BE32" s="11"/>
      <c r="BF32" s="11"/>
      <c r="BG32" s="11"/>
      <c r="BH32" s="11"/>
      <c r="BI32" s="11"/>
      <c r="BJ32" s="11"/>
      <c r="BK32" s="9"/>
      <c r="BL32" s="8"/>
      <c r="BM32" s="11"/>
      <c r="BN32" s="11"/>
      <c r="BO32" s="11"/>
      <c r="BP32" s="11"/>
      <c r="BQ32" s="11"/>
      <c r="BR32" s="11"/>
      <c r="BS32" s="11"/>
      <c r="BT32" s="11"/>
      <c r="BU32" s="11"/>
      <c r="BV32" s="11"/>
      <c r="BW32" s="11"/>
      <c r="BX32" s="11"/>
      <c r="BY32" s="11"/>
      <c r="BZ32" s="11"/>
      <c r="CA32" s="11"/>
      <c r="CB32" s="11"/>
      <c r="CC32" s="11"/>
      <c r="CD32" s="11"/>
      <c r="CE32" s="11"/>
      <c r="CF32" s="9"/>
      <c r="CG32" s="8"/>
      <c r="CH32" s="11"/>
      <c r="CI32" s="11"/>
      <c r="CJ32" s="11"/>
      <c r="CK32" s="11"/>
      <c r="CL32" s="11"/>
      <c r="CM32" s="11"/>
      <c r="CN32" s="11"/>
      <c r="CO32" s="11"/>
      <c r="CP32" s="11"/>
      <c r="CQ32" s="11"/>
      <c r="CR32" s="11"/>
      <c r="CS32" s="11"/>
      <c r="CT32" s="11"/>
      <c r="CU32" s="11"/>
      <c r="CV32" s="11"/>
      <c r="CW32" s="11"/>
      <c r="CX32" s="11"/>
      <c r="CY32" s="11"/>
      <c r="CZ32" s="11"/>
      <c r="DA32" s="9"/>
    </row>
    <row r="33" spans="1:105" x14ac:dyDescent="0.3">
      <c r="A33" s="8"/>
      <c r="B33" s="11"/>
      <c r="C33" s="11"/>
      <c r="D33" s="11"/>
      <c r="E33" s="11"/>
      <c r="F33" s="11"/>
      <c r="G33" s="11"/>
      <c r="H33" s="11"/>
      <c r="I33" s="11"/>
      <c r="J33" s="11"/>
      <c r="K33" s="755" t="s">
        <v>27</v>
      </c>
      <c r="L33" s="755"/>
      <c r="M33" s="755"/>
      <c r="N33" s="755"/>
      <c r="O33" s="755"/>
      <c r="P33" s="32">
        <f>Inputs!$C$15</f>
        <v>30</v>
      </c>
      <c r="Q33" s="230" t="s">
        <v>28</v>
      </c>
      <c r="R33" s="231" t="s">
        <v>380</v>
      </c>
      <c r="S33" s="232"/>
      <c r="T33" s="232"/>
      <c r="U33" s="9"/>
      <c r="V33" s="8"/>
      <c r="W33" s="11"/>
      <c r="X33" s="11"/>
      <c r="Y33" s="11"/>
      <c r="Z33" s="11"/>
      <c r="AA33" s="11"/>
      <c r="AB33" s="11"/>
      <c r="AC33" s="11"/>
      <c r="AD33" s="11"/>
      <c r="AE33" s="11"/>
      <c r="AF33" s="755" t="s">
        <v>27</v>
      </c>
      <c r="AG33" s="755"/>
      <c r="AH33" s="755"/>
      <c r="AI33" s="755"/>
      <c r="AJ33" s="755"/>
      <c r="AK33" s="32">
        <f>$P$33</f>
        <v>30</v>
      </c>
      <c r="AL33" s="230" t="s">
        <v>28</v>
      </c>
      <c r="AM33" s="231"/>
      <c r="AN33" s="232"/>
      <c r="AO33" s="232"/>
      <c r="AP33" s="9"/>
      <c r="AQ33" s="8"/>
      <c r="AR33" s="11"/>
      <c r="AS33" s="11"/>
      <c r="AT33" s="11"/>
      <c r="AU33" s="11"/>
      <c r="AV33" s="11"/>
      <c r="AW33" s="11"/>
      <c r="AX33" s="11"/>
      <c r="AY33" s="11"/>
      <c r="AZ33" s="11"/>
      <c r="BA33" s="755" t="s">
        <v>27</v>
      </c>
      <c r="BB33" s="755"/>
      <c r="BC33" s="755"/>
      <c r="BD33" s="755"/>
      <c r="BE33" s="755"/>
      <c r="BF33" s="32">
        <f>$P$33</f>
        <v>30</v>
      </c>
      <c r="BG33" s="230" t="s">
        <v>28</v>
      </c>
      <c r="BH33" s="231"/>
      <c r="BI33" s="232"/>
      <c r="BJ33" s="232"/>
      <c r="BK33" s="9"/>
      <c r="BL33" s="8"/>
      <c r="BM33" s="11"/>
      <c r="BN33" s="11"/>
      <c r="BO33" s="11"/>
      <c r="BP33" s="11"/>
      <c r="BQ33" s="11"/>
      <c r="BR33" s="11"/>
      <c r="BS33" s="11"/>
      <c r="BT33" s="11"/>
      <c r="BU33" s="11"/>
      <c r="BV33" s="755" t="s">
        <v>27</v>
      </c>
      <c r="BW33" s="755"/>
      <c r="BX33" s="755"/>
      <c r="BY33" s="755"/>
      <c r="BZ33" s="755"/>
      <c r="CA33" s="32">
        <f>$P$33</f>
        <v>30</v>
      </c>
      <c r="CB33" s="230" t="s">
        <v>28</v>
      </c>
      <c r="CC33" s="231"/>
      <c r="CD33" s="232"/>
      <c r="CE33" s="232"/>
      <c r="CF33" s="9"/>
      <c r="CG33" s="8"/>
      <c r="CH33" s="11"/>
      <c r="CI33" s="11"/>
      <c r="CJ33" s="11"/>
      <c r="CK33" s="11"/>
      <c r="CL33" s="11"/>
      <c r="CM33" s="11"/>
      <c r="CN33" s="11"/>
      <c r="CO33" s="11"/>
      <c r="CP33" s="11"/>
      <c r="CQ33" s="755" t="s">
        <v>27</v>
      </c>
      <c r="CR33" s="755"/>
      <c r="CS33" s="755"/>
      <c r="CT33" s="755"/>
      <c r="CU33" s="755"/>
      <c r="CV33" s="32">
        <f>$P$33</f>
        <v>30</v>
      </c>
      <c r="CW33" s="230" t="s">
        <v>28</v>
      </c>
      <c r="CX33" s="231"/>
      <c r="CY33" s="232"/>
      <c r="CZ33" s="232"/>
      <c r="DA33" s="9"/>
    </row>
    <row r="34" spans="1:105" x14ac:dyDescent="0.3">
      <c r="A34" s="8"/>
      <c r="B34" s="11"/>
      <c r="C34" s="11"/>
      <c r="D34" s="11"/>
      <c r="E34" s="11"/>
      <c r="F34" s="11"/>
      <c r="G34" s="11"/>
      <c r="H34" s="11"/>
      <c r="I34" s="11"/>
      <c r="J34" s="11"/>
      <c r="K34" s="755" t="s">
        <v>31</v>
      </c>
      <c r="L34" s="755"/>
      <c r="M34" s="755"/>
      <c r="N34" s="755"/>
      <c r="O34" s="755"/>
      <c r="P34" s="33">
        <f>Inputs!$C$16</f>
        <v>0</v>
      </c>
      <c r="Q34" s="230"/>
      <c r="R34" s="231" t="s">
        <v>380</v>
      </c>
      <c r="S34" s="232"/>
      <c r="T34" s="232"/>
      <c r="U34" s="9"/>
      <c r="V34" s="8"/>
      <c r="W34" s="11"/>
      <c r="X34" s="11"/>
      <c r="Y34" s="11"/>
      <c r="Z34" s="11"/>
      <c r="AA34" s="11"/>
      <c r="AB34" s="11"/>
      <c r="AC34" s="11"/>
      <c r="AD34" s="11"/>
      <c r="AE34" s="11"/>
      <c r="AF34" s="755" t="s">
        <v>31</v>
      </c>
      <c r="AG34" s="755"/>
      <c r="AH34" s="755"/>
      <c r="AI34" s="755"/>
      <c r="AJ34" s="755"/>
      <c r="AK34" s="33">
        <f>$P$34</f>
        <v>0</v>
      </c>
      <c r="AL34" s="230"/>
      <c r="AM34" s="231"/>
      <c r="AN34" s="232"/>
      <c r="AO34" s="232"/>
      <c r="AP34" s="9"/>
      <c r="AQ34" s="8"/>
      <c r="AR34" s="11"/>
      <c r="AS34" s="11"/>
      <c r="AT34" s="11"/>
      <c r="AU34" s="11"/>
      <c r="AV34" s="11"/>
      <c r="AW34" s="11"/>
      <c r="AX34" s="11"/>
      <c r="AY34" s="11"/>
      <c r="AZ34" s="11"/>
      <c r="BA34" s="755" t="s">
        <v>31</v>
      </c>
      <c r="BB34" s="755"/>
      <c r="BC34" s="755"/>
      <c r="BD34" s="755"/>
      <c r="BE34" s="755"/>
      <c r="BF34" s="33">
        <f>$P$34</f>
        <v>0</v>
      </c>
      <c r="BG34" s="230"/>
      <c r="BH34" s="231"/>
      <c r="BI34" s="232"/>
      <c r="BJ34" s="232"/>
      <c r="BK34" s="9"/>
      <c r="BL34" s="8"/>
      <c r="BM34" s="11"/>
      <c r="BN34" s="11"/>
      <c r="BO34" s="11"/>
      <c r="BP34" s="11"/>
      <c r="BQ34" s="11"/>
      <c r="BR34" s="11"/>
      <c r="BS34" s="11"/>
      <c r="BT34" s="11"/>
      <c r="BU34" s="11"/>
      <c r="BV34" s="755" t="s">
        <v>31</v>
      </c>
      <c r="BW34" s="755"/>
      <c r="BX34" s="755"/>
      <c r="BY34" s="755"/>
      <c r="BZ34" s="755"/>
      <c r="CA34" s="33">
        <f>$P$34</f>
        <v>0</v>
      </c>
      <c r="CB34" s="230"/>
      <c r="CC34" s="231"/>
      <c r="CD34" s="232"/>
      <c r="CE34" s="232"/>
      <c r="CF34" s="9"/>
      <c r="CG34" s="8"/>
      <c r="CH34" s="11"/>
      <c r="CI34" s="11"/>
      <c r="CJ34" s="11"/>
      <c r="CK34" s="11"/>
      <c r="CL34" s="11"/>
      <c r="CM34" s="11"/>
      <c r="CN34" s="11"/>
      <c r="CO34" s="11"/>
      <c r="CP34" s="11"/>
      <c r="CQ34" s="755" t="s">
        <v>31</v>
      </c>
      <c r="CR34" s="755"/>
      <c r="CS34" s="755"/>
      <c r="CT34" s="755"/>
      <c r="CU34" s="755"/>
      <c r="CV34" s="33">
        <f>$P$34</f>
        <v>0</v>
      </c>
      <c r="CW34" s="230"/>
      <c r="CX34" s="231"/>
      <c r="CY34" s="232"/>
      <c r="CZ34" s="232"/>
      <c r="DA34" s="9"/>
    </row>
    <row r="35" spans="1:105" x14ac:dyDescent="0.3">
      <c r="A35" s="8"/>
      <c r="B35" s="11"/>
      <c r="C35" s="11"/>
      <c r="D35" s="11"/>
      <c r="E35" s="11"/>
      <c r="F35" s="11"/>
      <c r="G35" s="11"/>
      <c r="H35" s="11"/>
      <c r="I35" s="11"/>
      <c r="J35" s="11"/>
      <c r="K35" s="11"/>
      <c r="L35" s="11"/>
      <c r="M35" s="11"/>
      <c r="N35" s="11"/>
      <c r="O35" s="11"/>
      <c r="P35" s="11"/>
      <c r="Q35" s="11"/>
      <c r="R35" s="11"/>
      <c r="S35" s="11"/>
      <c r="T35" s="11"/>
      <c r="U35" s="9"/>
      <c r="V35" s="8"/>
      <c r="W35" s="11"/>
      <c r="X35" s="11"/>
      <c r="Y35" s="11"/>
      <c r="Z35" s="11"/>
      <c r="AA35" s="11"/>
      <c r="AB35" s="11"/>
      <c r="AC35" s="11"/>
      <c r="AD35" s="11"/>
      <c r="AE35" s="11"/>
      <c r="AF35" s="11"/>
      <c r="AG35" s="11"/>
      <c r="AH35" s="11"/>
      <c r="AI35" s="11"/>
      <c r="AJ35" s="11"/>
      <c r="AK35" s="11"/>
      <c r="AL35" s="11"/>
      <c r="AM35" s="11"/>
      <c r="AN35" s="11"/>
      <c r="AO35" s="11"/>
      <c r="AP35" s="9"/>
      <c r="AQ35" s="8"/>
      <c r="AR35" s="11"/>
      <c r="AS35" s="11"/>
      <c r="AT35" s="11"/>
      <c r="AU35" s="11"/>
      <c r="AV35" s="11"/>
      <c r="AW35" s="11"/>
      <c r="AX35" s="11"/>
      <c r="AY35" s="11"/>
      <c r="AZ35" s="11"/>
      <c r="BA35" s="11"/>
      <c r="BB35" s="11"/>
      <c r="BC35" s="11"/>
      <c r="BD35" s="11"/>
      <c r="BE35" s="11"/>
      <c r="BF35" s="11"/>
      <c r="BG35" s="11"/>
      <c r="BH35" s="11"/>
      <c r="BI35" s="11"/>
      <c r="BJ35" s="11"/>
      <c r="BK35" s="9"/>
      <c r="BL35" s="8"/>
      <c r="BM35" s="11"/>
      <c r="BN35" s="11"/>
      <c r="BO35" s="11"/>
      <c r="BP35" s="11"/>
      <c r="BQ35" s="11"/>
      <c r="BR35" s="11"/>
      <c r="BS35" s="11"/>
      <c r="BT35" s="11"/>
      <c r="BU35" s="11"/>
      <c r="BV35" s="11"/>
      <c r="BW35" s="11"/>
      <c r="BX35" s="11"/>
      <c r="BY35" s="11"/>
      <c r="BZ35" s="11"/>
      <c r="CA35" s="11"/>
      <c r="CB35" s="11"/>
      <c r="CC35" s="11"/>
      <c r="CD35" s="11"/>
      <c r="CE35" s="11"/>
      <c r="CF35" s="9"/>
      <c r="CG35" s="8"/>
      <c r="CH35" s="11"/>
      <c r="CI35" s="11"/>
      <c r="CJ35" s="11"/>
      <c r="CK35" s="11"/>
      <c r="CL35" s="11"/>
      <c r="CM35" s="11"/>
      <c r="CN35" s="11"/>
      <c r="CO35" s="11"/>
      <c r="CP35" s="11"/>
      <c r="CQ35" s="11"/>
      <c r="CR35" s="11"/>
      <c r="CS35" s="11"/>
      <c r="CT35" s="11"/>
      <c r="CU35" s="11"/>
      <c r="CV35" s="11"/>
      <c r="CW35" s="11"/>
      <c r="CX35" s="11"/>
      <c r="CY35" s="11"/>
      <c r="CZ35" s="11"/>
      <c r="DA35" s="9"/>
    </row>
    <row r="36" spans="1:105" x14ac:dyDescent="0.3">
      <c r="A36" s="8"/>
      <c r="B36" s="11"/>
      <c r="C36" s="11"/>
      <c r="D36" s="11"/>
      <c r="E36" s="11"/>
      <c r="F36" s="11"/>
      <c r="G36" s="11"/>
      <c r="H36" s="11"/>
      <c r="I36" s="11"/>
      <c r="J36" s="11"/>
      <c r="K36" s="153" t="s">
        <v>93</v>
      </c>
      <c r="L36" s="153"/>
      <c r="M36" s="153"/>
      <c r="N36" s="153"/>
      <c r="O36" s="153"/>
      <c r="P36" s="11"/>
      <c r="Q36" s="11"/>
      <c r="R36" s="756" t="str">
        <f>"NPV: "&amp;K36</f>
        <v>NPV: Total Damages</v>
      </c>
      <c r="S36" s="756"/>
      <c r="T36" s="756"/>
      <c r="U36" s="9"/>
      <c r="V36" s="8"/>
      <c r="W36" s="11"/>
      <c r="X36" s="11"/>
      <c r="Y36" s="11"/>
      <c r="Z36" s="11"/>
      <c r="AA36" s="11"/>
      <c r="AB36" s="11"/>
      <c r="AC36" s="11"/>
      <c r="AD36" s="11"/>
      <c r="AE36" s="11"/>
      <c r="AF36" s="153" t="s">
        <v>57</v>
      </c>
      <c r="AG36" s="153"/>
      <c r="AH36" s="153"/>
      <c r="AI36" s="153"/>
      <c r="AJ36" s="153"/>
      <c r="AK36" s="11"/>
      <c r="AL36" s="11"/>
      <c r="AM36" s="756" t="str">
        <f>"NPV: "&amp;AF36</f>
        <v>NPV: Structural Damages</v>
      </c>
      <c r="AN36" s="756"/>
      <c r="AO36" s="756"/>
      <c r="AP36" s="9"/>
      <c r="AQ36" s="8"/>
      <c r="AR36" s="11"/>
      <c r="AS36" s="11"/>
      <c r="AT36" s="11"/>
      <c r="AU36" s="11"/>
      <c r="AV36" s="11"/>
      <c r="AW36" s="11"/>
      <c r="AX36" s="11"/>
      <c r="AY36" s="11"/>
      <c r="AZ36" s="11"/>
      <c r="BA36" s="153" t="s">
        <v>123</v>
      </c>
      <c r="BB36" s="153"/>
      <c r="BC36" s="153"/>
      <c r="BD36" s="153"/>
      <c r="BE36" s="153"/>
      <c r="BF36" s="11"/>
      <c r="BG36" s="11"/>
      <c r="BH36" s="756" t="str">
        <f>"NPV: "&amp;BA36</f>
        <v>NPV: Internal Damages</v>
      </c>
      <c r="BI36" s="756"/>
      <c r="BJ36" s="756"/>
      <c r="BK36" s="9"/>
      <c r="BL36" s="8"/>
      <c r="BM36" s="11"/>
      <c r="BN36" s="11"/>
      <c r="BO36" s="11"/>
      <c r="BP36" s="11"/>
      <c r="BQ36" s="11"/>
      <c r="BR36" s="11"/>
      <c r="BS36" s="11"/>
      <c r="BT36" s="11"/>
      <c r="BU36" s="11"/>
      <c r="BV36" s="153" t="s">
        <v>50</v>
      </c>
      <c r="BW36" s="153"/>
      <c r="BX36" s="153"/>
      <c r="BY36" s="153"/>
      <c r="BZ36" s="153"/>
      <c r="CA36" s="11"/>
      <c r="CB36" s="11"/>
      <c r="CC36" s="756" t="str">
        <f>"NPV: "&amp;BV36</f>
        <v>NPV: External Damages</v>
      </c>
      <c r="CD36" s="756"/>
      <c r="CE36" s="756"/>
      <c r="CF36" s="9"/>
      <c r="CG36" s="8"/>
      <c r="CH36" s="11"/>
      <c r="CI36" s="11"/>
      <c r="CJ36" s="11"/>
      <c r="CK36" s="11"/>
      <c r="CL36" s="11"/>
      <c r="CM36" s="11"/>
      <c r="CN36" s="11"/>
      <c r="CO36" s="11"/>
      <c r="CP36" s="11"/>
      <c r="CQ36" s="153" t="s">
        <v>285</v>
      </c>
      <c r="CR36" s="153"/>
      <c r="CS36" s="153"/>
      <c r="CT36" s="153"/>
      <c r="CU36" s="153"/>
      <c r="CV36" s="11"/>
      <c r="CW36" s="11"/>
      <c r="CX36" s="756" t="str">
        <f>"NPV: "&amp;CQ36</f>
        <v>NPV: Intangibles</v>
      </c>
      <c r="CY36" s="756"/>
      <c r="CZ36" s="756"/>
      <c r="DA36" s="9"/>
    </row>
    <row r="37" spans="1:105" x14ac:dyDescent="0.3">
      <c r="A37" s="8"/>
      <c r="B37" s="11"/>
      <c r="C37" s="11"/>
      <c r="D37" s="11"/>
      <c r="E37" s="11"/>
      <c r="F37" s="11"/>
      <c r="G37" s="11"/>
      <c r="H37" s="11"/>
      <c r="I37" s="11"/>
      <c r="J37" s="11"/>
      <c r="K37" s="11"/>
      <c r="L37" s="11"/>
      <c r="M37" s="11"/>
      <c r="N37" s="11"/>
      <c r="O37" s="11"/>
      <c r="P37" s="42"/>
      <c r="Q37" s="43" t="str">
        <f>Q5</f>
        <v>AAD</v>
      </c>
      <c r="R37" s="223">
        <f>R5</f>
        <v>4.0000000000000008E-2</v>
      </c>
      <c r="S37" s="223">
        <f>S5</f>
        <v>7.0000000000000007E-2</v>
      </c>
      <c r="T37" s="223">
        <f>T5</f>
        <v>0.1</v>
      </c>
      <c r="U37" s="9"/>
      <c r="V37" s="8"/>
      <c r="W37" s="11"/>
      <c r="X37" s="11"/>
      <c r="Y37" s="11"/>
      <c r="Z37" s="11"/>
      <c r="AA37" s="11"/>
      <c r="AB37" s="11"/>
      <c r="AC37" s="11"/>
      <c r="AD37" s="11"/>
      <c r="AE37" s="11"/>
      <c r="AF37" s="11"/>
      <c r="AG37" s="11"/>
      <c r="AH37" s="11"/>
      <c r="AI37" s="11"/>
      <c r="AJ37" s="11"/>
      <c r="AK37" s="42"/>
      <c r="AL37" s="43" t="str">
        <f>AL5</f>
        <v>AAD</v>
      </c>
      <c r="AM37" s="223">
        <f>AM5</f>
        <v>4.0000000000000008E-2</v>
      </c>
      <c r="AN37" s="223">
        <f>AN5</f>
        <v>7.0000000000000007E-2</v>
      </c>
      <c r="AO37" s="223">
        <f>AO5</f>
        <v>0.1</v>
      </c>
      <c r="AP37" s="9"/>
      <c r="AQ37" s="8"/>
      <c r="AR37" s="11"/>
      <c r="AS37" s="11"/>
      <c r="AT37" s="11"/>
      <c r="AU37" s="11"/>
      <c r="AV37" s="11"/>
      <c r="AW37" s="11"/>
      <c r="AX37" s="11"/>
      <c r="AY37" s="11"/>
      <c r="AZ37" s="11"/>
      <c r="BA37" s="11"/>
      <c r="BB37" s="11"/>
      <c r="BC37" s="11"/>
      <c r="BD37" s="11"/>
      <c r="BE37" s="11"/>
      <c r="BF37" s="42"/>
      <c r="BG37" s="43" t="str">
        <f>BG5</f>
        <v>AAD</v>
      </c>
      <c r="BH37" s="223">
        <f>BH5</f>
        <v>4.0000000000000008E-2</v>
      </c>
      <c r="BI37" s="223">
        <f>BI5</f>
        <v>7.0000000000000007E-2</v>
      </c>
      <c r="BJ37" s="223">
        <f>BJ5</f>
        <v>0.1</v>
      </c>
      <c r="BK37" s="9"/>
      <c r="BL37" s="8"/>
      <c r="BM37" s="11"/>
      <c r="BN37" s="11"/>
      <c r="BO37" s="11"/>
      <c r="BP37" s="11"/>
      <c r="BQ37" s="11"/>
      <c r="BR37" s="11"/>
      <c r="BS37" s="11"/>
      <c r="BT37" s="11"/>
      <c r="BU37" s="11"/>
      <c r="BV37" s="11"/>
      <c r="BW37" s="11"/>
      <c r="BX37" s="11"/>
      <c r="BY37" s="11"/>
      <c r="BZ37" s="11"/>
      <c r="CA37" s="42"/>
      <c r="CB37" s="43" t="str">
        <f>CB5</f>
        <v>AAD</v>
      </c>
      <c r="CC37" s="223">
        <f>CC5</f>
        <v>4.0000000000000008E-2</v>
      </c>
      <c r="CD37" s="223">
        <f>CD5</f>
        <v>7.0000000000000007E-2</v>
      </c>
      <c r="CE37" s="223">
        <f>CE5</f>
        <v>0.1</v>
      </c>
      <c r="CF37" s="9"/>
      <c r="CG37" s="8"/>
      <c r="CH37" s="11"/>
      <c r="CI37" s="11"/>
      <c r="CJ37" s="11"/>
      <c r="CK37" s="11"/>
      <c r="CL37" s="11"/>
      <c r="CM37" s="11"/>
      <c r="CN37" s="11"/>
      <c r="CO37" s="11"/>
      <c r="CP37" s="11"/>
      <c r="CQ37" s="11"/>
      <c r="CR37" s="11"/>
      <c r="CS37" s="11"/>
      <c r="CT37" s="11"/>
      <c r="CU37" s="11"/>
      <c r="CV37" s="42"/>
      <c r="CW37" s="43" t="str">
        <f>CW5</f>
        <v>AAD</v>
      </c>
      <c r="CX37" s="223">
        <f>CX5</f>
        <v>4.0000000000000008E-2</v>
      </c>
      <c r="CY37" s="223">
        <f>CY5</f>
        <v>7.0000000000000007E-2</v>
      </c>
      <c r="CZ37" s="223">
        <f>CZ5</f>
        <v>0.1</v>
      </c>
      <c r="DA37" s="9"/>
    </row>
    <row r="38" spans="1:105" x14ac:dyDescent="0.3">
      <c r="A38" s="8"/>
      <c r="B38" s="11"/>
      <c r="C38" s="11"/>
      <c r="D38" s="11"/>
      <c r="E38" s="11"/>
      <c r="F38" s="11"/>
      <c r="G38" s="11"/>
      <c r="H38" s="11"/>
      <c r="I38" s="11"/>
      <c r="J38" s="11"/>
      <c r="K38" s="11"/>
      <c r="L38" s="11"/>
      <c r="M38" s="11"/>
      <c r="N38" s="11"/>
      <c r="O38" s="11"/>
      <c r="P38" s="329" t="s">
        <v>165</v>
      </c>
      <c r="Q38" s="235">
        <f ca="1">D16</f>
        <v>474847.65054547589</v>
      </c>
      <c r="R38" s="235">
        <f ca="1">R31</f>
        <v>8211081.3859746531</v>
      </c>
      <c r="S38" s="235">
        <f ca="1">S31</f>
        <v>5892404.0515098106</v>
      </c>
      <c r="T38" s="235">
        <f ca="1">T31</f>
        <v>4476348.1865425576</v>
      </c>
      <c r="U38" s="9"/>
      <c r="V38" s="8"/>
      <c r="W38" s="11"/>
      <c r="X38" s="11"/>
      <c r="Y38" s="11"/>
      <c r="Z38" s="11"/>
      <c r="AA38" s="11"/>
      <c r="AB38" s="11"/>
      <c r="AC38" s="11"/>
      <c r="AD38" s="11"/>
      <c r="AE38" s="11"/>
      <c r="AF38" s="11"/>
      <c r="AG38" s="11"/>
      <c r="AH38" s="11"/>
      <c r="AI38" s="11"/>
      <c r="AJ38" s="11"/>
      <c r="AK38" s="45" t="str">
        <f>$P$38</f>
        <v>Base Case or Option Number/Name</v>
      </c>
      <c r="AL38" s="44">
        <f ca="1">Y16</f>
        <v>260441.20659137049</v>
      </c>
      <c r="AM38" s="44">
        <f ca="1">AM31</f>
        <v>4503558.0172432158</v>
      </c>
      <c r="AN38" s="44">
        <f ca="1">AN31</f>
        <v>3231825.658474274</v>
      </c>
      <c r="AO38" s="44">
        <f ca="1">AO31</f>
        <v>2455156.9782160828</v>
      </c>
      <c r="AP38" s="9"/>
      <c r="AQ38" s="8"/>
      <c r="AR38" s="11"/>
      <c r="AS38" s="11"/>
      <c r="AT38" s="11"/>
      <c r="AU38" s="11"/>
      <c r="AV38" s="11"/>
      <c r="AW38" s="11"/>
      <c r="AX38" s="11"/>
      <c r="AY38" s="11"/>
      <c r="AZ38" s="11"/>
      <c r="BA38" s="11"/>
      <c r="BB38" s="11"/>
      <c r="BC38" s="11"/>
      <c r="BD38" s="11"/>
      <c r="BE38" s="11"/>
      <c r="BF38" s="45" t="str">
        <f>$P$38</f>
        <v>Base Case or Option Number/Name</v>
      </c>
      <c r="BG38" s="44">
        <f ca="1">AT16</f>
        <v>150379.15596327081</v>
      </c>
      <c r="BH38" s="44">
        <f ca="1">BH31</f>
        <v>2600361.3726426959</v>
      </c>
      <c r="BI38" s="44">
        <f ca="1">BI31</f>
        <v>1866061.1394890775</v>
      </c>
      <c r="BJ38" s="44">
        <f ca="1">BJ31</f>
        <v>1417611.4408836497</v>
      </c>
      <c r="BK38" s="9"/>
      <c r="BL38" s="8"/>
      <c r="BM38" s="11"/>
      <c r="BN38" s="11"/>
      <c r="BO38" s="11"/>
      <c r="BP38" s="11"/>
      <c r="BQ38" s="11"/>
      <c r="BR38" s="11"/>
      <c r="BS38" s="11"/>
      <c r="BT38" s="11"/>
      <c r="BU38" s="11"/>
      <c r="BV38" s="11"/>
      <c r="BW38" s="11"/>
      <c r="BX38" s="11"/>
      <c r="BY38" s="11"/>
      <c r="BZ38" s="11"/>
      <c r="CA38" s="45" t="str">
        <f>$P$38</f>
        <v>Base Case or Option Number/Name</v>
      </c>
      <c r="CB38" s="44">
        <f>BO16</f>
        <v>51278.303697539799</v>
      </c>
      <c r="CC38" s="44">
        <f>CC31</f>
        <v>886706.13513944438</v>
      </c>
      <c r="CD38" s="44">
        <f>CD31</f>
        <v>636314.58240309218</v>
      </c>
      <c r="CE38" s="44">
        <f>CE31</f>
        <v>483396.18296895828</v>
      </c>
      <c r="CF38" s="9"/>
      <c r="CG38" s="8"/>
      <c r="CH38" s="11"/>
      <c r="CI38" s="11"/>
      <c r="CJ38" s="11"/>
      <c r="CK38" s="11"/>
      <c r="CL38" s="11"/>
      <c r="CM38" s="11"/>
      <c r="CN38" s="11"/>
      <c r="CO38" s="11"/>
      <c r="CP38" s="11"/>
      <c r="CQ38" s="11"/>
      <c r="CR38" s="11"/>
      <c r="CS38" s="11"/>
      <c r="CT38" s="11"/>
      <c r="CU38" s="11"/>
      <c r="CV38" s="45" t="str">
        <f>$P$38</f>
        <v>Base Case or Option Number/Name</v>
      </c>
      <c r="CW38" s="44">
        <f>CJ16</f>
        <v>12748.984293294741</v>
      </c>
      <c r="CX38" s="44">
        <f>CX31</f>
        <v>220455.86094930096</v>
      </c>
      <c r="CY38" s="44">
        <f>CY31</f>
        <v>158202.67114336381</v>
      </c>
      <c r="CZ38" s="44">
        <f>CZ31</f>
        <v>120183.58447386697</v>
      </c>
      <c r="DA38" s="9"/>
    </row>
    <row r="39" spans="1:105" x14ac:dyDescent="0.3">
      <c r="A39" s="8"/>
      <c r="B39" s="11"/>
      <c r="C39" s="11"/>
      <c r="D39" s="11"/>
      <c r="E39" s="11"/>
      <c r="F39" s="11"/>
      <c r="G39" s="11"/>
      <c r="H39" s="11"/>
      <c r="I39" s="11"/>
      <c r="J39" s="11"/>
      <c r="K39" s="11"/>
      <c r="L39" s="11"/>
      <c r="M39" s="11"/>
      <c r="N39" s="11"/>
      <c r="O39" s="11"/>
      <c r="P39" s="233" t="str">
        <f>$AF$36</f>
        <v>Structural Damages</v>
      </c>
      <c r="Q39" s="234">
        <f ca="1">AL38</f>
        <v>260441.20659137049</v>
      </c>
      <c r="R39" s="234">
        <f ca="1">AM38</f>
        <v>4503558.0172432158</v>
      </c>
      <c r="S39" s="234">
        <f ca="1">AN38</f>
        <v>3231825.658474274</v>
      </c>
      <c r="T39" s="234">
        <f ca="1">AO38</f>
        <v>2455156.9782160828</v>
      </c>
      <c r="U39" s="9"/>
      <c r="V39" s="8"/>
      <c r="W39" s="11"/>
      <c r="X39" s="11"/>
      <c r="Y39" s="11"/>
      <c r="Z39" s="11"/>
      <c r="AA39" s="11"/>
      <c r="AB39" s="11"/>
      <c r="AC39" s="11"/>
      <c r="AD39" s="11"/>
      <c r="AE39" s="11"/>
      <c r="AF39" s="11"/>
      <c r="AG39" s="11"/>
      <c r="AH39" s="11"/>
      <c r="AI39" s="11"/>
      <c r="AJ39" s="11"/>
      <c r="AK39" s="11"/>
      <c r="AL39" s="11"/>
      <c r="AM39" s="11"/>
      <c r="AN39" s="11"/>
      <c r="AO39" s="11"/>
      <c r="AP39" s="9"/>
      <c r="AQ39" s="8"/>
      <c r="AR39" s="11"/>
      <c r="AS39" s="11"/>
      <c r="AT39" s="11"/>
      <c r="AU39" s="11"/>
      <c r="AV39" s="11"/>
      <c r="AW39" s="11"/>
      <c r="AX39" s="11"/>
      <c r="AY39" s="11"/>
      <c r="AZ39" s="11"/>
      <c r="BA39" s="11"/>
      <c r="BB39" s="11"/>
      <c r="BC39" s="11"/>
      <c r="BD39" s="11"/>
      <c r="BE39" s="11"/>
      <c r="BF39" s="11"/>
      <c r="BG39" s="11"/>
      <c r="BH39" s="11"/>
      <c r="BI39" s="11"/>
      <c r="BJ39" s="11"/>
      <c r="BK39" s="9"/>
      <c r="BL39" s="8"/>
      <c r="BM39" s="11"/>
      <c r="BN39" s="11"/>
      <c r="BO39" s="11"/>
      <c r="BP39" s="11"/>
      <c r="BQ39" s="11"/>
      <c r="BR39" s="11"/>
      <c r="BS39" s="11"/>
      <c r="BT39" s="11"/>
      <c r="BU39" s="11"/>
      <c r="BV39" s="11"/>
      <c r="BW39" s="11"/>
      <c r="BX39" s="11"/>
      <c r="BY39" s="11"/>
      <c r="BZ39" s="11"/>
      <c r="CA39" s="11"/>
      <c r="CB39" s="11"/>
      <c r="CC39" s="11"/>
      <c r="CD39" s="11"/>
      <c r="CE39" s="11"/>
      <c r="CF39" s="9"/>
      <c r="CG39" s="8"/>
      <c r="CH39" s="11"/>
      <c r="CI39" s="11"/>
      <c r="CJ39" s="11"/>
      <c r="CK39" s="11"/>
      <c r="CL39" s="11"/>
      <c r="CM39" s="11"/>
      <c r="CN39" s="11"/>
      <c r="CO39" s="11"/>
      <c r="CP39" s="11"/>
      <c r="CQ39" s="11"/>
      <c r="CR39" s="11"/>
      <c r="CS39" s="11"/>
      <c r="CT39" s="11"/>
      <c r="CU39" s="11"/>
      <c r="CV39" s="11"/>
      <c r="CW39" s="11"/>
      <c r="CX39" s="11"/>
      <c r="CY39" s="11"/>
      <c r="CZ39" s="11"/>
      <c r="DA39" s="9"/>
    </row>
    <row r="40" spans="1:105" x14ac:dyDescent="0.3">
      <c r="A40" s="8"/>
      <c r="B40" s="11"/>
      <c r="C40" s="11"/>
      <c r="D40" s="11"/>
      <c r="E40" s="11"/>
      <c r="F40" s="11"/>
      <c r="G40" s="11"/>
      <c r="H40" s="11"/>
      <c r="I40" s="11"/>
      <c r="J40" s="11"/>
      <c r="K40" s="11"/>
      <c r="L40" s="11"/>
      <c r="M40" s="11"/>
      <c r="N40" s="11"/>
      <c r="O40" s="11"/>
      <c r="P40" s="233" t="str">
        <f>BA36</f>
        <v>Internal Damages</v>
      </c>
      <c r="Q40" s="234">
        <f ca="1">BG38</f>
        <v>150379.15596327081</v>
      </c>
      <c r="R40" s="234">
        <f ca="1">BH38</f>
        <v>2600361.3726426959</v>
      </c>
      <c r="S40" s="234">
        <f ca="1">BI38</f>
        <v>1866061.1394890775</v>
      </c>
      <c r="T40" s="234">
        <f ca="1">BJ38</f>
        <v>1417611.4408836497</v>
      </c>
      <c r="U40" s="9"/>
      <c r="V40" s="8"/>
      <c r="W40" s="11"/>
      <c r="X40" s="11"/>
      <c r="Y40" s="11"/>
      <c r="Z40" s="11"/>
      <c r="AA40" s="11"/>
      <c r="AB40" s="11"/>
      <c r="AC40" s="11"/>
      <c r="AD40" s="11"/>
      <c r="AE40" s="11"/>
      <c r="AF40" s="11"/>
      <c r="AG40" s="11"/>
      <c r="AH40" s="11"/>
      <c r="AI40" s="11"/>
      <c r="AJ40" s="11"/>
      <c r="AL40" s="11"/>
      <c r="AM40" s="11"/>
      <c r="AN40" s="11"/>
      <c r="AO40" s="11"/>
      <c r="AP40" s="9"/>
      <c r="AQ40" s="8"/>
      <c r="AR40" s="11"/>
      <c r="AS40" s="11"/>
      <c r="AT40" s="11"/>
      <c r="AU40" s="11"/>
      <c r="AV40" s="11"/>
      <c r="AW40" s="11"/>
      <c r="AX40" s="11"/>
      <c r="AY40" s="11"/>
      <c r="AZ40" s="11"/>
      <c r="BA40" s="11"/>
      <c r="BB40" s="11"/>
      <c r="BC40" s="11"/>
      <c r="BD40" s="11"/>
      <c r="BE40" s="11"/>
      <c r="BG40" s="11"/>
      <c r="BH40" s="11"/>
      <c r="BI40" s="11"/>
      <c r="BJ40" s="11"/>
      <c r="BK40" s="9"/>
      <c r="BL40" s="8"/>
      <c r="BM40" s="11"/>
      <c r="BN40" s="11"/>
      <c r="BO40" s="11"/>
      <c r="BP40" s="11"/>
      <c r="BQ40" s="11"/>
      <c r="BR40" s="11"/>
      <c r="BS40" s="11"/>
      <c r="BT40" s="11"/>
      <c r="BU40" s="11"/>
      <c r="BV40" s="11"/>
      <c r="BW40" s="11"/>
      <c r="BX40" s="11"/>
      <c r="BY40" s="11"/>
      <c r="BZ40" s="11"/>
      <c r="CB40" s="11"/>
      <c r="CC40" s="11"/>
      <c r="CD40" s="11"/>
      <c r="CE40" s="11"/>
      <c r="CF40" s="9"/>
      <c r="CG40" s="8"/>
      <c r="CH40" s="11"/>
      <c r="CI40" s="11"/>
      <c r="CJ40" s="11"/>
      <c r="CK40" s="11"/>
      <c r="CL40" s="11"/>
      <c r="CM40" s="11"/>
      <c r="CN40" s="11"/>
      <c r="CO40" s="11"/>
      <c r="CP40" s="11"/>
      <c r="CQ40" s="11"/>
      <c r="CR40" s="11"/>
      <c r="CS40" s="11"/>
      <c r="CT40" s="11"/>
      <c r="CU40" s="11"/>
      <c r="CW40" s="11"/>
      <c r="CX40" s="11"/>
      <c r="CY40" s="11"/>
      <c r="CZ40" s="11"/>
      <c r="DA40" s="9"/>
    </row>
    <row r="41" spans="1:105" x14ac:dyDescent="0.3">
      <c r="A41" s="8"/>
      <c r="B41" s="11"/>
      <c r="P41" s="233" t="str">
        <f>BV36</f>
        <v>External Damages</v>
      </c>
      <c r="Q41" s="234">
        <f>CB38</f>
        <v>51278.303697539799</v>
      </c>
      <c r="R41" s="234">
        <f>CC38</f>
        <v>886706.13513944438</v>
      </c>
      <c r="S41" s="234">
        <f>CD38</f>
        <v>636314.58240309218</v>
      </c>
      <c r="T41" s="234">
        <f>CE38</f>
        <v>483396.18296895828</v>
      </c>
      <c r="U41" s="9"/>
      <c r="V41" s="8"/>
      <c r="AP41" s="9"/>
      <c r="AQ41" s="8"/>
      <c r="BK41" s="9"/>
      <c r="BL41" s="8"/>
      <c r="CF41" s="9"/>
      <c r="CG41" s="8"/>
      <c r="DA41" s="9"/>
    </row>
    <row r="42" spans="1:105" x14ac:dyDescent="0.3">
      <c r="A42" s="8"/>
      <c r="B42" s="11"/>
      <c r="P42" s="233" t="str">
        <f>CQ36</f>
        <v>Intangibles</v>
      </c>
      <c r="Q42" s="234">
        <f>CW38</f>
        <v>12748.984293294741</v>
      </c>
      <c r="R42" s="234">
        <f>CX38</f>
        <v>220455.86094930096</v>
      </c>
      <c r="S42" s="234">
        <f>CY38</f>
        <v>158202.67114336381</v>
      </c>
      <c r="T42" s="234">
        <f>CZ38</f>
        <v>120183.58447386697</v>
      </c>
      <c r="U42" s="9"/>
      <c r="V42" s="8"/>
      <c r="AP42" s="9"/>
      <c r="AQ42" s="8"/>
      <c r="BK42" s="9"/>
      <c r="BL42" s="8"/>
      <c r="CF42" s="9"/>
      <c r="CG42" s="8"/>
      <c r="DA42" s="9"/>
    </row>
    <row r="43" spans="1:105" ht="15" thickBot="1" x14ac:dyDescent="0.35">
      <c r="A43" s="12"/>
      <c r="B43" s="13"/>
      <c r="C43" s="13"/>
      <c r="D43" s="13"/>
      <c r="E43" s="13"/>
      <c r="F43" s="13"/>
      <c r="G43" s="13"/>
      <c r="H43" s="13"/>
      <c r="I43" s="13"/>
      <c r="J43" s="13"/>
      <c r="K43" s="13"/>
      <c r="L43" s="13"/>
      <c r="M43" s="13"/>
      <c r="N43" s="13"/>
      <c r="O43" s="13"/>
      <c r="P43" s="13"/>
      <c r="Q43" s="13"/>
      <c r="R43" s="13"/>
      <c r="S43" s="13"/>
      <c r="T43" s="13"/>
      <c r="U43" s="14"/>
      <c r="V43" s="12"/>
      <c r="W43" s="13"/>
      <c r="X43" s="13"/>
      <c r="Y43" s="13"/>
      <c r="Z43" s="13"/>
      <c r="AA43" s="13"/>
      <c r="AB43" s="13"/>
      <c r="AC43" s="13"/>
      <c r="AD43" s="13"/>
      <c r="AE43" s="13"/>
      <c r="AF43" s="13"/>
      <c r="AG43" s="13"/>
      <c r="AH43" s="13"/>
      <c r="AI43" s="13"/>
      <c r="AJ43" s="13"/>
      <c r="AK43" s="13"/>
      <c r="AL43" s="13"/>
      <c r="AM43" s="13"/>
      <c r="AN43" s="13"/>
      <c r="AO43" s="13"/>
      <c r="AP43" s="14"/>
      <c r="AQ43" s="12"/>
      <c r="AR43" s="13"/>
      <c r="AS43" s="13"/>
      <c r="AT43" s="13"/>
      <c r="AU43" s="13"/>
      <c r="AV43" s="13"/>
      <c r="AW43" s="13"/>
      <c r="AX43" s="13"/>
      <c r="AY43" s="13"/>
      <c r="AZ43" s="13"/>
      <c r="BA43" s="13"/>
      <c r="BB43" s="13"/>
      <c r="BC43" s="13"/>
      <c r="BD43" s="13"/>
      <c r="BE43" s="13"/>
      <c r="BF43" s="13"/>
      <c r="BG43" s="13"/>
      <c r="BH43" s="13"/>
      <c r="BI43" s="13"/>
      <c r="BJ43" s="13"/>
      <c r="BK43" s="14"/>
      <c r="BL43" s="12"/>
      <c r="BM43" s="13"/>
      <c r="BN43" s="13"/>
      <c r="BO43" s="13"/>
      <c r="BP43" s="13"/>
      <c r="BQ43" s="13"/>
      <c r="BR43" s="13"/>
      <c r="BS43" s="13"/>
      <c r="BT43" s="13"/>
      <c r="BU43" s="13"/>
      <c r="BV43" s="13"/>
      <c r="BW43" s="13"/>
      <c r="BX43" s="13"/>
      <c r="BY43" s="13"/>
      <c r="BZ43" s="13"/>
      <c r="CA43" s="13"/>
      <c r="CB43" s="13"/>
      <c r="CC43" s="13"/>
      <c r="CD43" s="13"/>
      <c r="CE43" s="13"/>
      <c r="CF43" s="14"/>
      <c r="CG43" s="12"/>
      <c r="CH43" s="13"/>
      <c r="CI43" s="13"/>
      <c r="CJ43" s="13"/>
      <c r="CK43" s="13"/>
      <c r="CL43" s="13"/>
      <c r="CM43" s="13"/>
      <c r="CN43" s="13"/>
      <c r="CO43" s="13"/>
      <c r="CP43" s="13"/>
      <c r="CQ43" s="13"/>
      <c r="CR43" s="13"/>
      <c r="CS43" s="13"/>
      <c r="CT43" s="13"/>
      <c r="CU43" s="13"/>
      <c r="CV43" s="13"/>
      <c r="CW43" s="13"/>
      <c r="CX43" s="13"/>
      <c r="CY43" s="13"/>
      <c r="CZ43" s="13"/>
      <c r="DA43" s="14"/>
    </row>
    <row r="47" spans="1:105" x14ac:dyDescent="0.3">
      <c r="F47" s="177"/>
    </row>
    <row r="48" spans="1:105" x14ac:dyDescent="0.3">
      <c r="F48" s="177"/>
    </row>
    <row r="49" spans="6:6" x14ac:dyDescent="0.3">
      <c r="F49" s="177"/>
    </row>
    <row r="50" spans="6:6" x14ac:dyDescent="0.3">
      <c r="F50" s="177"/>
    </row>
    <row r="51" spans="6:6" x14ac:dyDescent="0.3">
      <c r="F51" s="177"/>
    </row>
    <row r="52" spans="6:6" x14ac:dyDescent="0.3">
      <c r="F52" s="177"/>
    </row>
    <row r="53" spans="6:6" x14ac:dyDescent="0.3">
      <c r="F53" s="177"/>
    </row>
    <row r="54" spans="6:6" x14ac:dyDescent="0.3">
      <c r="F54" s="177"/>
    </row>
  </sheetData>
  <sheetProtection algorithmName="SHA-512" hashValue="U1BSLMeZTkyy4oVP/y7BsXQYfdGTgwul8A7SeUXcDIJZEcMvXmUmVR4mdGIcZxeMWLquGMtdM/Kuk1/o3Xk6DQ==" saltValue="uN0pnPRX/EIHs88AWyHbeA==" spinCount="100000" sheet="1" objects="1" scenarios="1"/>
  <mergeCells count="100">
    <mergeCell ref="CH16:CI16"/>
    <mergeCell ref="AV9:AX9"/>
    <mergeCell ref="AV10:AX10"/>
    <mergeCell ref="CM7:CN7"/>
    <mergeCell ref="CM8:CN8"/>
    <mergeCell ref="CM9:CN9"/>
    <mergeCell ref="CM10:CN10"/>
    <mergeCell ref="CM11:CN11"/>
    <mergeCell ref="AV11:AX11"/>
    <mergeCell ref="AV12:AX12"/>
    <mergeCell ref="CM12:CN12"/>
    <mergeCell ref="AV8:AX8"/>
    <mergeCell ref="BQ11:BS11"/>
    <mergeCell ref="BQ12:BS12"/>
    <mergeCell ref="BQ13:BS13"/>
    <mergeCell ref="AV13:AX13"/>
    <mergeCell ref="CX36:CZ36"/>
    <mergeCell ref="CQ33:CU33"/>
    <mergeCell ref="CQ34:CU34"/>
    <mergeCell ref="CQ31:CW31"/>
    <mergeCell ref="CM13:CN13"/>
    <mergeCell ref="CM14:CN14"/>
    <mergeCell ref="CM15:CN15"/>
    <mergeCell ref="CH2:CZ2"/>
    <mergeCell ref="CS4:CU4"/>
    <mergeCell ref="CX4:CZ4"/>
    <mergeCell ref="CM5:CN5"/>
    <mergeCell ref="CM6:CN6"/>
    <mergeCell ref="AR2:BJ2"/>
    <mergeCell ref="BM2:CE2"/>
    <mergeCell ref="BC4:BE4"/>
    <mergeCell ref="BH4:BJ4"/>
    <mergeCell ref="BX4:BZ4"/>
    <mergeCell ref="CC4:CE4"/>
    <mergeCell ref="BQ16:BS16"/>
    <mergeCell ref="AV5:AX5"/>
    <mergeCell ref="AV6:AX6"/>
    <mergeCell ref="AV7:AX7"/>
    <mergeCell ref="BQ5:BS5"/>
    <mergeCell ref="BQ6:BS6"/>
    <mergeCell ref="BQ7:BS7"/>
    <mergeCell ref="BQ8:BS8"/>
    <mergeCell ref="BQ9:BS9"/>
    <mergeCell ref="BQ10:BS10"/>
    <mergeCell ref="BQ14:BS14"/>
    <mergeCell ref="BQ15:BS15"/>
    <mergeCell ref="CC36:CE36"/>
    <mergeCell ref="BA31:BG31"/>
    <mergeCell ref="BV31:CB31"/>
    <mergeCell ref="BA33:BE33"/>
    <mergeCell ref="BV33:BZ33"/>
    <mergeCell ref="BA34:BE34"/>
    <mergeCell ref="BV34:BZ34"/>
    <mergeCell ref="BH36:BJ36"/>
    <mergeCell ref="B2:T2"/>
    <mergeCell ref="B16:C16"/>
    <mergeCell ref="F5:H5"/>
    <mergeCell ref="F6:H6"/>
    <mergeCell ref="F7:H7"/>
    <mergeCell ref="F8:H8"/>
    <mergeCell ref="F9:H9"/>
    <mergeCell ref="F10:H10"/>
    <mergeCell ref="F16:H16"/>
    <mergeCell ref="M4:O4"/>
    <mergeCell ref="R4:T4"/>
    <mergeCell ref="F12:H12"/>
    <mergeCell ref="F13:H13"/>
    <mergeCell ref="F14:H14"/>
    <mergeCell ref="F15:H15"/>
    <mergeCell ref="B4:D4"/>
    <mergeCell ref="K33:O33"/>
    <mergeCell ref="K34:O34"/>
    <mergeCell ref="K31:Q31"/>
    <mergeCell ref="R36:T36"/>
    <mergeCell ref="F11:H11"/>
    <mergeCell ref="W2:AO2"/>
    <mergeCell ref="AH4:AJ4"/>
    <mergeCell ref="AM4:AO4"/>
    <mergeCell ref="AA5:AC5"/>
    <mergeCell ref="AA6:AC6"/>
    <mergeCell ref="W16:X16"/>
    <mergeCell ref="AA7:AC7"/>
    <mergeCell ref="AA8:AC8"/>
    <mergeCell ref="AA9:AC9"/>
    <mergeCell ref="AA10:AC10"/>
    <mergeCell ref="AA11:AC11"/>
    <mergeCell ref="AF34:AJ34"/>
    <mergeCell ref="AM36:AO36"/>
    <mergeCell ref="AA12:AC12"/>
    <mergeCell ref="AA13:AC13"/>
    <mergeCell ref="AA14:AC14"/>
    <mergeCell ref="AA15:AC15"/>
    <mergeCell ref="AA16:AC16"/>
    <mergeCell ref="AF31:AL31"/>
    <mergeCell ref="AF33:AJ33"/>
    <mergeCell ref="AR16:AS16"/>
    <mergeCell ref="BM16:BN16"/>
    <mergeCell ref="AV14:AX14"/>
    <mergeCell ref="AV15:AX15"/>
    <mergeCell ref="AV16:AX16"/>
  </mergeCells>
  <conditionalFormatting sqref="P6:P30 K6:K30 AF6:AF30 BF6:BF30 BA6:BA30 CA6:CA30 BV6:BV30 CV6:CV30 CQ6:CQ30 AK6:AK30">
    <cfRule type="cellIs" dxfId="77" priority="18" operator="lessThanOrEqual">
      <formula>$P$33</formula>
    </cfRule>
  </conditionalFormatting>
  <conditionalFormatting sqref="P6:P30 K6:K30 AF6:AF30 BF6:BF30 BA6:BA30 CA6:CA30 BV6:BV30 CV6:CV30 CQ6:CQ30 AK6:AK30">
    <cfRule type="cellIs" dxfId="76" priority="17" operator="greaterThan">
      <formula>$P$33</formula>
    </cfRule>
  </conditionalFormatting>
  <conditionalFormatting sqref="R6:T30 M6:O30 AM6:AO30 AH6:AJ30 BH6:BJ30 BC6:BE30 CC6:CE30 BX6:BZ30 CX6:CZ30 CS6:CU30">
    <cfRule type="cellIs" dxfId="75" priority="16" operator="equal">
      <formula>0</formula>
    </cfRule>
  </conditionalFormatting>
  <dataValidations count="1">
    <dataValidation type="whole" allowBlank="1" showInputMessage="1" showErrorMessage="1" sqref="CV33 AK33 BF33 CA33 P33" xr:uid="{36C0E989-4612-4EF7-8939-1C1112D8E87A}">
      <formula1>1</formula1>
      <formula2>50</formula2>
    </dataValidation>
  </dataValidations>
  <pageMargins left="0.25" right="0.25" top="0.75" bottom="0.75" header="0.3" footer="0.3"/>
  <pageSetup paperSize="9" scale="69" fitToWidth="0" orientation="landscape" horizontalDpi="1200" verticalDpi="1200" r:id="rId1"/>
  <headerFooter>
    <oddFooter>&amp;R&amp;"-,Italic"&amp;K03+000Page &amp;P of &amp;N</oddFooter>
  </headerFooter>
  <rowBreaks count="1" manualBreakCount="1">
    <brk id="41" max="16383" man="1"/>
  </rowBreaks>
  <colBreaks count="4" manualBreakCount="4">
    <brk id="21" max="1048575" man="1"/>
    <brk id="42" max="1048575" man="1"/>
    <brk id="63" max="1048575" man="1"/>
    <brk id="84"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2ED8F3657F88D418B524994A43E1F95" ma:contentTypeVersion="13" ma:contentTypeDescription="Create a new document." ma:contentTypeScope="" ma:versionID="65952d1593d39ebcd795b49c35af5e43">
  <xsd:schema xmlns:xsd="http://www.w3.org/2001/XMLSchema" xmlns:xs="http://www.w3.org/2001/XMLSchema" xmlns:p="http://schemas.microsoft.com/office/2006/metadata/properties" xmlns:ns3="34a62846-fa07-4375-b27e-558cdb05241e" xmlns:ns4="572964e0-d905-4afd-86d4-239f5189e9cc" targetNamespace="http://schemas.microsoft.com/office/2006/metadata/properties" ma:root="true" ma:fieldsID="36fcabab99bef213dbb5d17c170915a0" ns3:_="" ns4:_="">
    <xsd:import namespace="34a62846-fa07-4375-b27e-558cdb05241e"/>
    <xsd:import namespace="572964e0-d905-4afd-86d4-239f5189e9c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a62846-fa07-4375-b27e-558cdb0524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72964e0-d905-4afd-86d4-239f5189e9c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CEF6F1F-880C-4860-8D8A-D054469A6A00}">
  <ds:schemaRefs>
    <ds:schemaRef ds:uri="http://schemas.microsoft.com/sharepoint/v3/contenttype/forms"/>
  </ds:schemaRefs>
</ds:datastoreItem>
</file>

<file path=customXml/itemProps2.xml><?xml version="1.0" encoding="utf-8"?>
<ds:datastoreItem xmlns:ds="http://schemas.openxmlformats.org/officeDocument/2006/customXml" ds:itemID="{8B44F78A-5FF1-479A-9357-BC366DCF61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a62846-fa07-4375-b27e-558cdb05241e"/>
    <ds:schemaRef ds:uri="572964e0-d905-4afd-86d4-239f5189e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B81F10-D0F2-4B3A-94CE-A80D57CE160E}">
  <ds:schemaRefs>
    <ds:schemaRef ds:uri="http://purl.org/dc/terms/"/>
    <ds:schemaRef ds:uri="http://schemas.openxmlformats.org/package/2006/metadata/core-properties"/>
    <ds:schemaRef ds:uri="34a62846-fa07-4375-b27e-558cdb05241e"/>
    <ds:schemaRef ds:uri="http://schemas.microsoft.com/office/2006/documentManagement/types"/>
    <ds:schemaRef ds:uri="http://schemas.microsoft.com/office/infopath/2007/PartnerControls"/>
    <ds:schemaRef ds:uri="http://purl.org/dc/elements/1.1/"/>
    <ds:schemaRef ds:uri="http://schemas.microsoft.com/office/2006/metadata/properties"/>
    <ds:schemaRef ds:uri="572964e0-d905-4afd-86d4-239f5189e9c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17</vt:i4>
      </vt:variant>
    </vt:vector>
  </HeadingPairs>
  <TitlesOfParts>
    <vt:vector size="30" baseType="lpstr">
      <vt:lpstr>Info</vt:lpstr>
      <vt:lpstr>Project Details</vt:lpstr>
      <vt:lpstr>Inflation</vt:lpstr>
      <vt:lpstr>NSW</vt:lpstr>
      <vt:lpstr>Inputs</vt:lpstr>
      <vt:lpstr>Relocation</vt:lpstr>
      <vt:lpstr>Damage Curves</vt:lpstr>
      <vt:lpstr>Properties</vt:lpstr>
      <vt:lpstr>AAD Calculation</vt:lpstr>
      <vt:lpstr>Summary Output</vt:lpstr>
      <vt:lpstr>Damage Curves - Total</vt:lpstr>
      <vt:lpstr>Damage Curves - Res</vt:lpstr>
      <vt:lpstr>Damage Curves - Com</vt:lpstr>
      <vt:lpstr>Actual_to_Potential</vt:lpstr>
      <vt:lpstr>Cleanup</vt:lpstr>
      <vt:lpstr>Downscale</vt:lpstr>
      <vt:lpstr>External</vt:lpstr>
      <vt:lpstr>External_Threshold</vt:lpstr>
      <vt:lpstr>Fatality</vt:lpstr>
      <vt:lpstr>IndirectCom</vt:lpstr>
      <vt:lpstr>Infrastructure</vt:lpstr>
      <vt:lpstr>Injury</vt:lpstr>
      <vt:lpstr>Info!Print_Area</vt:lpstr>
      <vt:lpstr>'Project Details'!Print_Area</vt:lpstr>
      <vt:lpstr>'Damage Curves - Com'!Print_Titles</vt:lpstr>
      <vt:lpstr>'Damage Curves - Res'!Print_Titles</vt:lpstr>
      <vt:lpstr>Relocation!Print_Titles</vt:lpstr>
      <vt:lpstr>SocialWTP</vt:lpstr>
      <vt:lpstr>Uplift</vt:lpstr>
      <vt:lpstr>Warning_Time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Akhil Sud</dc:creator>
  <cp:lastModifiedBy>DPIE EES Flood</cp:lastModifiedBy>
  <cp:lastPrinted>2021-09-23T02:21:06Z</cp:lastPrinted>
  <dcterms:created xsi:type="dcterms:W3CDTF">2020-06-16T05:04:58Z</dcterms:created>
  <dcterms:modified xsi:type="dcterms:W3CDTF">2022-02-03T05:16:53Z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0x01010072ED8F3657F88D418B524994A43E1F95</vt:lpwstr>
  </property>
</Properties>
</file>